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840" windowHeight="9195" firstSheet="1" activeTab="5"/>
  </bookViews>
  <sheets>
    <sheet name="Титул" sheetId="10" r:id="rId1"/>
    <sheet name="на выход" sheetId="1" r:id="rId2"/>
    <sheet name="сводки БЖУ" sheetId="2" r:id="rId3"/>
    <sheet name="сводки по продуктам" sheetId="5" r:id="rId4"/>
    <sheet name="обьемы по приемам пищи" sheetId="9" r:id="rId5"/>
    <sheet name="библиография" sheetId="7" r:id="rId6"/>
    <sheet name="Лист1" sheetId="8" state="hidden" r:id="rId7"/>
  </sheets>
  <externalReferences>
    <externalReference r:id="rId8"/>
  </externalReferences>
  <definedNames>
    <definedName name="_xlnm.Print_Area" localSheetId="1">'на выход'!$B$1:$I$394</definedName>
  </definedNames>
  <calcPr calcId="125725"/>
</workbook>
</file>

<file path=xl/calcChain.xml><?xml version="1.0" encoding="utf-8"?>
<calcChain xmlns="http://schemas.openxmlformats.org/spreadsheetml/2006/main">
  <c r="D156" i="1"/>
  <c r="M37" i="5" l="1"/>
  <c r="N37" s="1"/>
  <c r="O37" s="1"/>
  <c r="M36"/>
  <c r="N36" s="1"/>
  <c r="O36" s="1"/>
  <c r="M35"/>
  <c r="N35" s="1"/>
  <c r="O35" s="1"/>
  <c r="M34"/>
  <c r="N34" s="1"/>
  <c r="O34" s="1"/>
  <c r="M33"/>
  <c r="N33" s="1"/>
  <c r="O33" s="1"/>
  <c r="M32"/>
  <c r="N32" s="1"/>
  <c r="O32" s="1"/>
  <c r="M31"/>
  <c r="N31" s="1"/>
  <c r="O31" s="1"/>
  <c r="M30"/>
  <c r="N30" s="1"/>
  <c r="O30" s="1"/>
  <c r="M29"/>
  <c r="N29" s="1"/>
  <c r="O29" s="1"/>
  <c r="M28"/>
  <c r="N28" s="1"/>
  <c r="O28" s="1"/>
  <c r="M27"/>
  <c r="N27" s="1"/>
  <c r="O27" s="1"/>
  <c r="M26"/>
  <c r="N26" s="1"/>
  <c r="O26" s="1"/>
  <c r="M25"/>
  <c r="N25" s="1"/>
  <c r="O25" s="1"/>
  <c r="M24"/>
  <c r="N24" s="1"/>
  <c r="O24" s="1"/>
  <c r="M23"/>
  <c r="N23" s="1"/>
  <c r="O23" s="1"/>
  <c r="M22"/>
  <c r="N22" s="1"/>
  <c r="O22" s="1"/>
  <c r="M21"/>
  <c r="N21" s="1"/>
  <c r="O21" s="1"/>
  <c r="M20"/>
  <c r="N20" s="1"/>
  <c r="O20" s="1"/>
  <c r="N19"/>
  <c r="O19" s="1"/>
  <c r="M19"/>
  <c r="M18"/>
  <c r="N18" s="1"/>
  <c r="O18" s="1"/>
  <c r="M17"/>
  <c r="N17" s="1"/>
  <c r="O17" s="1"/>
  <c r="M16"/>
  <c r="N16" s="1"/>
  <c r="O16" s="1"/>
  <c r="M15"/>
  <c r="N15" s="1"/>
  <c r="O15" s="1"/>
  <c r="M14"/>
  <c r="N14" s="1"/>
  <c r="O14" s="1"/>
  <c r="M13"/>
  <c r="N13" s="1"/>
  <c r="O13" s="1"/>
  <c r="M12"/>
  <c r="N12" s="1"/>
  <c r="O12" s="1"/>
  <c r="M11"/>
  <c r="N11" s="1"/>
  <c r="O11" s="1"/>
  <c r="M10"/>
  <c r="N10" s="1"/>
  <c r="O10" s="1"/>
  <c r="M9"/>
  <c r="N9" s="1"/>
  <c r="O9" s="1"/>
  <c r="M8"/>
  <c r="N8" s="1"/>
  <c r="O8" s="1"/>
  <c r="I133" i="1"/>
  <c r="H133"/>
  <c r="G133"/>
  <c r="F133"/>
  <c r="E133"/>
  <c r="I39"/>
  <c r="H39"/>
  <c r="G39"/>
  <c r="F39"/>
  <c r="E39"/>
  <c r="D39"/>
  <c r="I26"/>
  <c r="H26"/>
  <c r="G26"/>
  <c r="F26"/>
  <c r="E26"/>
  <c r="D26"/>
  <c r="I13"/>
  <c r="H13"/>
  <c r="G13"/>
  <c r="F13"/>
  <c r="E13"/>
  <c r="I77"/>
  <c r="H77"/>
  <c r="G77"/>
  <c r="F77"/>
  <c r="E77"/>
  <c r="I389"/>
  <c r="H389"/>
  <c r="G389"/>
  <c r="F389"/>
  <c r="E389"/>
  <c r="D389"/>
  <c r="I379"/>
  <c r="H379"/>
  <c r="G379"/>
  <c r="F379"/>
  <c r="E379"/>
  <c r="I351"/>
  <c r="H351"/>
  <c r="G351"/>
  <c r="F351"/>
  <c r="E351"/>
  <c r="I339" l="1"/>
  <c r="H339"/>
  <c r="G339"/>
  <c r="F339"/>
  <c r="E339"/>
  <c r="D339"/>
  <c r="I327"/>
  <c r="H327"/>
  <c r="G327"/>
  <c r="F327"/>
  <c r="E327"/>
  <c r="I312"/>
  <c r="H312"/>
  <c r="G312"/>
  <c r="F312"/>
  <c r="E312"/>
  <c r="D312"/>
  <c r="I301"/>
  <c r="H301"/>
  <c r="G301"/>
  <c r="F301"/>
  <c r="E301"/>
  <c r="I273"/>
  <c r="H273"/>
  <c r="G273"/>
  <c r="F273"/>
  <c r="E273"/>
  <c r="I265"/>
  <c r="H265"/>
  <c r="G265"/>
  <c r="F265"/>
  <c r="E265"/>
  <c r="I261"/>
  <c r="H261"/>
  <c r="G261"/>
  <c r="F261"/>
  <c r="E261"/>
  <c r="I249"/>
  <c r="H249"/>
  <c r="G249"/>
  <c r="F249"/>
  <c r="E249"/>
  <c r="I182"/>
  <c r="H182"/>
  <c r="G182"/>
  <c r="F182"/>
  <c r="E182"/>
  <c r="D182"/>
  <c r="I104"/>
  <c r="H104"/>
  <c r="G104"/>
  <c r="F104"/>
  <c r="E104"/>
  <c r="I66"/>
  <c r="H66"/>
  <c r="G66"/>
  <c r="F66"/>
  <c r="E66"/>
  <c r="I234"/>
  <c r="H234"/>
  <c r="G234"/>
  <c r="F234"/>
  <c r="E234"/>
  <c r="D234"/>
  <c r="I222"/>
  <c r="H222"/>
  <c r="G222"/>
  <c r="F222"/>
  <c r="E222"/>
  <c r="D222"/>
  <c r="I209" l="1"/>
  <c r="H209"/>
  <c r="G209"/>
  <c r="F209"/>
  <c r="E209"/>
  <c r="D209"/>
  <c r="I193"/>
  <c r="H193"/>
  <c r="G193"/>
  <c r="F193"/>
  <c r="E193"/>
  <c r="D193"/>
  <c r="I92"/>
  <c r="H92"/>
  <c r="G92"/>
  <c r="F92"/>
  <c r="E92"/>
  <c r="I171"/>
  <c r="H171"/>
  <c r="G171"/>
  <c r="F171"/>
  <c r="E171"/>
  <c r="I144"/>
  <c r="H144"/>
  <c r="G144"/>
  <c r="F144"/>
  <c r="E144"/>
  <c r="I155"/>
  <c r="H155"/>
  <c r="G155"/>
  <c r="F155"/>
  <c r="E155"/>
  <c r="I117" l="1"/>
  <c r="H117"/>
  <c r="G117"/>
  <c r="F117"/>
  <c r="E117"/>
  <c r="D117"/>
  <c r="I55"/>
  <c r="H55"/>
  <c r="G55"/>
  <c r="F55"/>
  <c r="E55"/>
  <c r="I70"/>
  <c r="H70"/>
  <c r="G70"/>
  <c r="F70"/>
  <c r="E70"/>
  <c r="E31"/>
  <c r="D31"/>
  <c r="I31"/>
  <c r="H31"/>
  <c r="G31"/>
  <c r="F31"/>
  <c r="E367" l="1"/>
  <c r="E289"/>
  <c r="E227"/>
  <c r="F227" l="1"/>
  <c r="G227"/>
  <c r="H227"/>
  <c r="I227"/>
  <c r="D16" l="1"/>
  <c r="D40" s="1"/>
  <c r="F370" l="1"/>
  <c r="G370"/>
  <c r="H370"/>
  <c r="I370"/>
  <c r="E370"/>
  <c r="D370"/>
  <c r="D390" s="1"/>
  <c r="E343" l="1"/>
  <c r="F330"/>
  <c r="G330"/>
  <c r="H330"/>
  <c r="I330"/>
  <c r="E330"/>
  <c r="D330"/>
  <c r="D352" s="1"/>
  <c r="E305"/>
  <c r="F292"/>
  <c r="G292"/>
  <c r="H292"/>
  <c r="I292"/>
  <c r="E292"/>
  <c r="D292"/>
  <c r="D313" s="1"/>
  <c r="D252"/>
  <c r="D274" s="1"/>
  <c r="F252"/>
  <c r="F274" s="1"/>
  <c r="D11" i="2" s="1"/>
  <c r="G252" i="1"/>
  <c r="G274" s="1"/>
  <c r="E11" i="2" s="1"/>
  <c r="H252" i="1"/>
  <c r="H274" s="1"/>
  <c r="F11" i="2" s="1"/>
  <c r="I252" i="1"/>
  <c r="I274" s="1"/>
  <c r="G11" i="2" s="1"/>
  <c r="E252" i="1"/>
  <c r="E274" s="1"/>
  <c r="C11" i="2" s="1"/>
  <c r="E186" i="1"/>
  <c r="F174"/>
  <c r="G174"/>
  <c r="H174"/>
  <c r="I174"/>
  <c r="E174"/>
  <c r="D174"/>
  <c r="D194" s="1"/>
  <c r="E352" l="1"/>
  <c r="E313"/>
  <c r="E194"/>
  <c r="E148"/>
  <c r="F136"/>
  <c r="G136"/>
  <c r="H136"/>
  <c r="I136"/>
  <c r="E136"/>
  <c r="D136"/>
  <c r="E108"/>
  <c r="F95"/>
  <c r="G95"/>
  <c r="H95"/>
  <c r="I95"/>
  <c r="E95"/>
  <c r="D95"/>
  <c r="D118" s="1"/>
  <c r="E196" l="1"/>
  <c r="C9" i="2"/>
  <c r="E315" i="1"/>
  <c r="C12" i="2"/>
  <c r="E354" i="1"/>
  <c r="C13" i="2"/>
  <c r="E118" i="1"/>
  <c r="C7" i="2" s="1"/>
  <c r="E156" i="1"/>
  <c r="C8" i="2" s="1"/>
  <c r="F58" i="1"/>
  <c r="F78" s="1"/>
  <c r="D6" i="2" s="1"/>
  <c r="G58" i="1"/>
  <c r="G78" s="1"/>
  <c r="E6" i="2" s="1"/>
  <c r="H58" i="1"/>
  <c r="H78" s="1"/>
  <c r="F6" i="2" s="1"/>
  <c r="I58" i="1"/>
  <c r="I78" s="1"/>
  <c r="G6" i="2" s="1"/>
  <c r="E58" i="1"/>
  <c r="E78" s="1"/>
  <c r="C6" i="2" s="1"/>
  <c r="D58" i="1"/>
  <c r="D78" s="1"/>
  <c r="E80" l="1"/>
  <c r="F212"/>
  <c r="F235" s="1"/>
  <c r="D10" i="2" s="1"/>
  <c r="G212" i="1"/>
  <c r="G235" s="1"/>
  <c r="E10" i="2" s="1"/>
  <c r="H212" i="1"/>
  <c r="H235" s="1"/>
  <c r="F10" i="2" s="1"/>
  <c r="I212" i="1"/>
  <c r="I235" s="1"/>
  <c r="G10" i="2" s="1"/>
  <c r="E212" i="1"/>
  <c r="E235" s="1"/>
  <c r="C10" i="2" s="1"/>
  <c r="D212" i="1"/>
  <c r="D235" s="1"/>
  <c r="F16"/>
  <c r="F40" s="1"/>
  <c r="D5" i="2" s="1"/>
  <c r="G16" i="1"/>
  <c r="H16"/>
  <c r="I16"/>
  <c r="E16"/>
  <c r="E40" s="1"/>
  <c r="C5" i="2" s="1"/>
  <c r="E42" i="1" l="1"/>
  <c r="G14" i="9" l="1"/>
  <c r="F14"/>
  <c r="E14"/>
  <c r="D14"/>
  <c r="C14"/>
  <c r="F13"/>
  <c r="E13"/>
  <c r="D13"/>
  <c r="C13"/>
  <c r="F12"/>
  <c r="E12"/>
  <c r="D12"/>
  <c r="C12"/>
  <c r="D11"/>
  <c r="C11"/>
  <c r="G10"/>
  <c r="E10"/>
  <c r="D10"/>
  <c r="C10"/>
  <c r="G9"/>
  <c r="E9"/>
  <c r="D9"/>
  <c r="C9"/>
  <c r="G8"/>
  <c r="F8"/>
  <c r="E8"/>
  <c r="D8"/>
  <c r="C8"/>
  <c r="F7"/>
  <c r="E7"/>
  <c r="D7"/>
  <c r="G6"/>
  <c r="F6"/>
  <c r="C6"/>
  <c r="F5"/>
  <c r="E5"/>
  <c r="D5"/>
  <c r="C5"/>
  <c r="F9"/>
  <c r="G383" i="1" l="1"/>
  <c r="I383"/>
  <c r="F343"/>
  <c r="F352" s="1"/>
  <c r="D13" i="2" s="1"/>
  <c r="G343" i="1"/>
  <c r="G352" s="1"/>
  <c r="E13" i="2" s="1"/>
  <c r="H343" i="1"/>
  <c r="H352" s="1"/>
  <c r="F13" i="2" s="1"/>
  <c r="I343" i="1"/>
  <c r="I352" s="1"/>
  <c r="G13" i="2" s="1"/>
  <c r="I305" i="1"/>
  <c r="G11" i="9"/>
  <c r="F11"/>
  <c r="F15" s="1"/>
  <c r="F305" i="1" l="1"/>
  <c r="G305"/>
  <c r="H305"/>
  <c r="E383"/>
  <c r="E390" s="1"/>
  <c r="C14" i="2" s="1"/>
  <c r="C15" s="1"/>
  <c r="F383" i="1"/>
  <c r="G12" i="9"/>
  <c r="H383" i="1"/>
  <c r="E392" l="1"/>
  <c r="F148"/>
  <c r="F156" s="1"/>
  <c r="D8" i="2" s="1"/>
  <c r="G7" i="9"/>
  <c r="G108" i="1"/>
  <c r="G118" s="1"/>
  <c r="E7" i="2" s="1"/>
  <c r="H108" i="1" l="1"/>
  <c r="H118" s="1"/>
  <c r="F7" i="2" s="1"/>
  <c r="G148" i="1"/>
  <c r="G156" s="1"/>
  <c r="E8" i="2" s="1"/>
  <c r="H148" i="1"/>
  <c r="H156" s="1"/>
  <c r="F8" i="2" s="1"/>
  <c r="I186" i="1"/>
  <c r="H186"/>
  <c r="G186"/>
  <c r="C7" i="9"/>
  <c r="C15" s="1"/>
  <c r="I148" i="1"/>
  <c r="I156" s="1"/>
  <c r="G8" i="2" s="1"/>
  <c r="F186" i="1"/>
  <c r="F108"/>
  <c r="F118" s="1"/>
  <c r="D7" i="2" s="1"/>
  <c r="I108" i="1"/>
  <c r="I118" s="1"/>
  <c r="G7" i="2" s="1"/>
  <c r="F194" i="1" l="1"/>
  <c r="H194"/>
  <c r="G194"/>
  <c r="I194"/>
  <c r="G5" i="9"/>
  <c r="G15" s="1"/>
  <c r="I196" i="1" l="1"/>
  <c r="G9" i="2"/>
  <c r="H196" i="1"/>
  <c r="F9" i="2"/>
  <c r="F196" i="1"/>
  <c r="D9" i="2"/>
  <c r="G196" i="1"/>
  <c r="E9" i="2"/>
  <c r="H367" i="1"/>
  <c r="G367"/>
  <c r="I367"/>
  <c r="F367"/>
  <c r="G390" l="1"/>
  <c r="I390"/>
  <c r="H390"/>
  <c r="F390"/>
  <c r="E237"/>
  <c r="F392" l="1"/>
  <c r="D14" i="2"/>
  <c r="H392" i="1"/>
  <c r="F14" i="2"/>
  <c r="I392" i="1"/>
  <c r="G14" i="2"/>
  <c r="G392" i="1"/>
  <c r="E14" i="2"/>
  <c r="D6" i="9"/>
  <c r="D15" s="1"/>
  <c r="I158" i="1" l="1"/>
  <c r="H158"/>
  <c r="G158"/>
  <c r="F158"/>
  <c r="G120" l="1"/>
  <c r="I120"/>
  <c r="F120"/>
  <c r="H120" l="1"/>
  <c r="J15" i="8" l="1"/>
  <c r="I15"/>
  <c r="I14"/>
  <c r="I13"/>
  <c r="H15"/>
  <c r="H14"/>
  <c r="H13"/>
  <c r="G15"/>
  <c r="G14"/>
  <c r="G13"/>
  <c r="F15"/>
  <c r="F14"/>
  <c r="F13"/>
  <c r="E15"/>
  <c r="E14"/>
  <c r="E13"/>
  <c r="D15"/>
  <c r="C15"/>
  <c r="D14"/>
  <c r="C14"/>
  <c r="D13"/>
  <c r="C13"/>
  <c r="J14"/>
  <c r="J13"/>
  <c r="G16" l="1"/>
  <c r="F16"/>
  <c r="H16"/>
  <c r="I16"/>
  <c r="J16"/>
  <c r="C16"/>
  <c r="E16"/>
  <c r="D16"/>
  <c r="J7" l="1"/>
  <c r="I7"/>
  <c r="H7"/>
  <c r="G7"/>
  <c r="F7"/>
  <c r="E7"/>
  <c r="D7"/>
  <c r="C7"/>
  <c r="J6"/>
  <c r="I6"/>
  <c r="H6"/>
  <c r="G6"/>
  <c r="F6"/>
  <c r="E6"/>
  <c r="D6"/>
  <c r="C6"/>
  <c r="J5"/>
  <c r="J8" s="1"/>
  <c r="I5"/>
  <c r="I8" s="1"/>
  <c r="H5"/>
  <c r="H8" s="1"/>
  <c r="G5"/>
  <c r="G8" s="1"/>
  <c r="F5"/>
  <c r="F8" s="1"/>
  <c r="E5"/>
  <c r="D5"/>
  <c r="D8" s="1"/>
  <c r="C5"/>
  <c r="C8" s="1"/>
  <c r="E8" l="1"/>
  <c r="F354" i="1"/>
  <c r="G354"/>
  <c r="H354"/>
  <c r="I354"/>
  <c r="F289"/>
  <c r="F313" s="1"/>
  <c r="D12" i="2" s="1"/>
  <c r="D15" s="1"/>
  <c r="G289" i="1"/>
  <c r="G313" s="1"/>
  <c r="E12" i="2" s="1"/>
  <c r="H289" i="1"/>
  <c r="H313" s="1"/>
  <c r="F12" i="2" s="1"/>
  <c r="I289" i="1"/>
  <c r="I313" s="1"/>
  <c r="G12" i="2" s="1"/>
  <c r="E11" i="9" l="1"/>
  <c r="I315" i="1"/>
  <c r="F315"/>
  <c r="H315"/>
  <c r="G315"/>
  <c r="G237"/>
  <c r="I237"/>
  <c r="F237"/>
  <c r="E6" i="9"/>
  <c r="H40" i="1"/>
  <c r="F5" i="2" s="1"/>
  <c r="F15" s="1"/>
  <c r="I40" i="1"/>
  <c r="G5" i="2" s="1"/>
  <c r="G15" s="1"/>
  <c r="G40" i="1"/>
  <c r="E5" i="2" s="1"/>
  <c r="E15" s="1"/>
  <c r="H237" i="1" l="1"/>
  <c r="E158"/>
  <c r="I42"/>
  <c r="H42"/>
  <c r="G42"/>
  <c r="F42"/>
  <c r="E15" i="9"/>
  <c r="E276" i="1" l="1"/>
  <c r="I80"/>
  <c r="H80"/>
  <c r="G80"/>
  <c r="F80"/>
  <c r="F276" l="1"/>
  <c r="H276"/>
  <c r="I276"/>
  <c r="G276"/>
  <c r="E120"/>
</calcChain>
</file>

<file path=xl/sharedStrings.xml><?xml version="1.0" encoding="utf-8"?>
<sst xmlns="http://schemas.openxmlformats.org/spreadsheetml/2006/main" count="764" uniqueCount="371">
  <si>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</si>
  <si>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</si>
  <si>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</si>
  <si>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</si>
  <si>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</si>
  <si>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Б</t>
  </si>
  <si>
    <t>Ж</t>
  </si>
  <si>
    <t>У</t>
  </si>
  <si>
    <t>С</t>
  </si>
  <si>
    <t>Завтрак</t>
  </si>
  <si>
    <t>Итого</t>
  </si>
  <si>
    <t>Обед</t>
  </si>
  <si>
    <t>Хлеб ржано-пшеничный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</si>
  <si>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</si>
  <si>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</si>
  <si>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</si>
  <si>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</si>
  <si>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</si>
  <si>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</si>
  <si>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</si>
  <si>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</si>
  <si>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</si>
  <si>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</si>
  <si>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</si>
  <si>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</si>
  <si>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t>Всего за 10 дней</t>
  </si>
  <si>
    <t>Компот из свежих плодов (яблок)</t>
  </si>
  <si>
    <t>Какао с молоком</t>
  </si>
  <si>
    <t>Библиография</t>
  </si>
  <si>
    <t>Пояснение</t>
  </si>
  <si>
    <t>Суп картофельный с мясными фрикадельками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</si>
  <si>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</si>
  <si>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</si>
  <si>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</si>
  <si>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</si>
  <si>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</si>
  <si>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</si>
  <si>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</si>
  <si>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</si>
  <si>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</si>
  <si>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</si>
  <si>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</si>
  <si>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</si>
  <si>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</si>
  <si>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</si>
  <si>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</si>
  <si>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</si>
  <si>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</si>
  <si>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</si>
  <si>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</si>
  <si>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</si>
  <si>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</si>
  <si>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</si>
  <si>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с 3 до 7 лет</t>
    </r>
  </si>
  <si>
    <t xml:space="preserve">Суммарный объем блюд по приемам пищи в соответствии с СанПиН 2.3/2.4.3590-20 </t>
  </si>
  <si>
    <t>Дни недели</t>
  </si>
  <si>
    <t>Второй завтрак</t>
  </si>
  <si>
    <r>
      <t> </t>
    </r>
    <r>
      <rPr>
        <b/>
        <sz val="14"/>
        <color rgb="FF000000"/>
        <rFont val="Times New Roman"/>
        <family val="1"/>
        <charset val="204"/>
      </rPr>
      <t xml:space="preserve">Показатели нормы </t>
    </r>
  </si>
  <si>
    <t>Среднее за 10 дней</t>
  </si>
  <si>
    <t>Ужин</t>
  </si>
  <si>
    <t>Полдник</t>
  </si>
  <si>
    <t>Сдоба обыкновенная</t>
  </si>
  <si>
    <t xml:space="preserve">Бутерброды с сыром </t>
  </si>
  <si>
    <t>Яйца вареные</t>
  </si>
  <si>
    <t>Витамин С, мг</t>
  </si>
  <si>
    <t>Плоды свежие (яблоки)</t>
  </si>
  <si>
    <t>Салат из белокочанной капусты</t>
  </si>
  <si>
    <t>Суп крестьянский с крупой(пшено)</t>
  </si>
  <si>
    <t>80\130</t>
  </si>
  <si>
    <t>Компот из сушеных фруктов</t>
  </si>
  <si>
    <t xml:space="preserve">Батон нарезной </t>
  </si>
  <si>
    <t xml:space="preserve">Оладьи </t>
  </si>
  <si>
    <t>Соус молочный сладкий</t>
  </si>
  <si>
    <t>Молоко кипяченое</t>
  </si>
  <si>
    <t>Зразы рыбные с яйцом</t>
  </si>
  <si>
    <t>Рагу из овощей с кашей</t>
  </si>
  <si>
    <t>Кисель витаминизированный</t>
  </si>
  <si>
    <t>200\5</t>
  </si>
  <si>
    <t>Бутерброды с маслом</t>
  </si>
  <si>
    <t>Батон нарезной</t>
  </si>
  <si>
    <t>Кофейный напиток с молоком</t>
  </si>
  <si>
    <t>Соки овощные, фруктовые, ягодные (яблочный)</t>
  </si>
  <si>
    <t>Суп картофельный с крупой (крупа гречневая)</t>
  </si>
  <si>
    <t>c птицей отварной (бройлер-цыпленок)</t>
  </si>
  <si>
    <t>Котлеты рубленые из свинины</t>
  </si>
  <si>
    <t xml:space="preserve">Макаронные изделия отварные </t>
  </si>
  <si>
    <t>Сырники из творога(запеченные)</t>
  </si>
  <si>
    <t xml:space="preserve">Соус сметанный сладкий </t>
  </si>
  <si>
    <t>Котлеты рыбные запеченные (минтай)</t>
  </si>
  <si>
    <t>Картофель в молоке</t>
  </si>
  <si>
    <t xml:space="preserve">Капуста тушеная </t>
  </si>
  <si>
    <t>354[1]</t>
  </si>
  <si>
    <t>293[3]</t>
  </si>
  <si>
    <t>Каша жидкая молочная пшенная, с маслом сливочным</t>
  </si>
  <si>
    <t>68[4]</t>
  </si>
  <si>
    <t>Сыр (порциями, российский)</t>
  </si>
  <si>
    <t>Голубцы ленивые с соусом сметанным с томатом</t>
  </si>
  <si>
    <t>160\30</t>
  </si>
  <si>
    <t>Печенье</t>
  </si>
  <si>
    <t>Икра кабачковая для детского питания</t>
  </si>
  <si>
    <t xml:space="preserve">Чай с сахаром </t>
  </si>
  <si>
    <t>180\6</t>
  </si>
  <si>
    <t>67[4]</t>
  </si>
  <si>
    <t>1 шт.</t>
  </si>
  <si>
    <t>Чай с молоком</t>
  </si>
  <si>
    <t>Котлеты рубленные из кур, запеченные с соусом молочным</t>
  </si>
  <si>
    <t>Каша вязкая (рисовая)</t>
  </si>
  <si>
    <t>Пирожки печеные из дрожжевого теста(фарш яблочный)</t>
  </si>
  <si>
    <t>Суфле из рыбы(минтай)</t>
  </si>
  <si>
    <t>Салат из моркови</t>
  </si>
  <si>
    <t>Каша жидкая молочная гречневая, с маслом сливочным</t>
  </si>
  <si>
    <t>64[4]</t>
  </si>
  <si>
    <t>Суп картофельный с лапшой домашней(на бульоне из птицы)</t>
  </si>
  <si>
    <t xml:space="preserve">Икра морковная </t>
  </si>
  <si>
    <t>Вареники ленивые отварные</t>
  </si>
  <si>
    <t>Каша  жидкая молочная рисовая, с маслом сливочным</t>
  </si>
  <si>
    <t>Омлет с морковью</t>
  </si>
  <si>
    <t>197[4]</t>
  </si>
  <si>
    <t>Икра свекольная</t>
  </si>
  <si>
    <t>Жаркое по-домашнему из говядины</t>
  </si>
  <si>
    <t>Ватрушка с фаршем творожным</t>
  </si>
  <si>
    <t>Шницель рыбный натуральный (минтай)</t>
  </si>
  <si>
    <t>Масло порциями</t>
  </si>
  <si>
    <t xml:space="preserve">Оладьи из печени по-кунцевски </t>
  </si>
  <si>
    <t>180\5</t>
  </si>
  <si>
    <t>Молоко кипяченое*</t>
  </si>
  <si>
    <t>Каша жидкая молочная(кукурузная), с маслом сливочным</t>
  </si>
  <si>
    <t>Котлеты рубленые из птицы( бройлер-цыпленок)</t>
  </si>
  <si>
    <t>Птица, тушеная в соусе с овощами</t>
  </si>
  <si>
    <t>Котлеты рубленые из говядины</t>
  </si>
  <si>
    <t>Омлет с сыром</t>
  </si>
  <si>
    <t>Суп картофельный с рыбными фрикадельками</t>
  </si>
  <si>
    <t>250\40</t>
  </si>
  <si>
    <t>Биточки рубленые из птицы(бройлер-цыпленок)</t>
  </si>
  <si>
    <t>Суфле творожное</t>
  </si>
  <si>
    <t>5. Справочник «Химический состав российских пищевых продуктов»/ Под ред. И. М. Скурихина, В. А. Тутельяна. – М. : ДеЛи принт, 2002. – 236 с.</t>
  </si>
  <si>
    <t>Норма</t>
  </si>
  <si>
    <t>Отклонения</t>
  </si>
  <si>
    <t>80\5</t>
  </si>
  <si>
    <t>Омлет натуральный с маслом сливочным</t>
  </si>
  <si>
    <t>Суп молочный с макаронными изделиями</t>
  </si>
  <si>
    <t>Каша жидкая молочная из манной крупы, с маслом сливочным</t>
  </si>
  <si>
    <r>
      <t>1День:</t>
    </r>
    <r>
      <rPr>
        <sz val="12"/>
        <color theme="1"/>
        <rFont val="Times New Roman"/>
        <family val="1"/>
        <charset val="204"/>
      </rPr>
      <t xml:space="preserve"> Понедельник</t>
    </r>
  </si>
  <si>
    <t>Сезон: осенне-зимний</t>
  </si>
  <si>
    <r>
      <t xml:space="preserve">Сезон: </t>
    </r>
    <r>
      <rPr>
        <sz val="12"/>
        <color theme="1"/>
        <rFont val="Times New Roman"/>
        <family val="1"/>
        <charset val="204"/>
      </rPr>
      <t>осенне-зимний</t>
    </r>
  </si>
  <si>
    <t>2День: Вторник</t>
  </si>
  <si>
    <t>Кисель  витаминизированный</t>
  </si>
  <si>
    <t>Пряники</t>
  </si>
  <si>
    <t>180/5</t>
  </si>
  <si>
    <t>Завтрак 2 (5,0%)</t>
  </si>
  <si>
    <r>
      <t>3День:</t>
    </r>
    <r>
      <rPr>
        <sz val="12"/>
        <color theme="1"/>
        <rFont val="Times New Roman"/>
        <family val="1"/>
        <charset val="204"/>
      </rPr>
      <t xml:space="preserve"> Среда</t>
    </r>
  </si>
  <si>
    <t>Соки овощные, фруктовые, ягодные (абрикосовый)</t>
  </si>
  <si>
    <t>Щи из свежей капусты с картофелем (со сметаной т/о)</t>
  </si>
  <si>
    <t>Каша вязкая (гречневая)</t>
  </si>
  <si>
    <t>Полдник (10,9%)</t>
  </si>
  <si>
    <r>
      <t>4 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</si>
  <si>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Плов из птицы</t>
  </si>
  <si>
    <t>Плоды свежие (груши)</t>
  </si>
  <si>
    <t>2 завтрак (4,8%)</t>
  </si>
  <si>
    <t xml:space="preserve">  Полдник (12,0%)</t>
  </si>
  <si>
    <r>
      <t xml:space="preserve"> 5День:</t>
    </r>
    <r>
      <rPr>
        <sz val="12"/>
        <color theme="1"/>
        <rFont val="Times New Roman"/>
        <family val="1"/>
        <charset val="204"/>
      </rPr>
      <t xml:space="preserve"> Пятница</t>
    </r>
  </si>
  <si>
    <t>Чай с сахаром</t>
  </si>
  <si>
    <t>Икра морковная</t>
  </si>
  <si>
    <t>Свекольник, со сметаной</t>
  </si>
  <si>
    <t>Завтрак (23,0%)</t>
  </si>
  <si>
    <r>
      <t>6 День:</t>
    </r>
    <r>
      <rPr>
        <sz val="12"/>
        <color theme="1"/>
        <rFont val="Times New Roman"/>
        <family val="1"/>
        <charset val="204"/>
      </rPr>
      <t xml:space="preserve"> Понедельник</t>
    </r>
  </si>
  <si>
    <t>279[1]</t>
  </si>
  <si>
    <t>Тефтели (2-й вариант)</t>
  </si>
  <si>
    <t>с соусом сметанным с томатом и луком</t>
  </si>
  <si>
    <t>Соки овощные, фруктовые, ягодные( яблочный)</t>
  </si>
  <si>
    <t>Пирожки печеные из дрожжевого теста(фарш  мясной с луком)</t>
  </si>
  <si>
    <t>200\25</t>
  </si>
  <si>
    <t>Завтрак (22,1%)</t>
  </si>
  <si>
    <t>200\11</t>
  </si>
  <si>
    <t>2 завтрак (8,0%)</t>
  </si>
  <si>
    <t>Обед (33,0%)</t>
  </si>
  <si>
    <r>
      <t>7День:</t>
    </r>
    <r>
      <rPr>
        <sz val="12"/>
        <color theme="1"/>
        <rFont val="Times New Roman"/>
        <family val="1"/>
        <charset val="204"/>
      </rPr>
      <t xml:space="preserve"> Вторник</t>
    </r>
  </si>
  <si>
    <t>Суп картофельный с клецками</t>
  </si>
  <si>
    <t>200\20</t>
  </si>
  <si>
    <t>Морковь, тушеная с яблоками</t>
  </si>
  <si>
    <t>Запеканка картофельная с мясом (свинина), со сметаной</t>
  </si>
  <si>
    <t>160\15</t>
  </si>
  <si>
    <t>Полдник (11,8%)</t>
  </si>
  <si>
    <t>Ужин (27,2%)</t>
  </si>
  <si>
    <r>
      <t>8День:</t>
    </r>
    <r>
      <rPr>
        <sz val="12"/>
        <color theme="1"/>
        <rFont val="Times New Roman"/>
        <family val="1"/>
        <charset val="204"/>
      </rPr>
      <t xml:space="preserve"> Среда</t>
    </r>
  </si>
  <si>
    <t>2 завтрак (7,3%)</t>
  </si>
  <si>
    <r>
      <t>9День: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</si>
  <si>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Капуста тушеная</t>
  </si>
  <si>
    <t>Суп картофельный с бобовыми</t>
  </si>
  <si>
    <r>
      <t>10 День:</t>
    </r>
    <r>
      <rPr>
        <sz val="12"/>
        <color theme="1"/>
        <rFont val="Times New Roman"/>
        <family val="1"/>
        <charset val="204"/>
      </rPr>
      <t xml:space="preserve"> Пятница</t>
    </r>
  </si>
  <si>
    <t>Кисель на плодовом или ягодном экстрактах</t>
  </si>
  <si>
    <t>Завтрак(23,0%)</t>
  </si>
  <si>
    <t>Ужин(19,5%)</t>
  </si>
  <si>
    <t>Ужин (26,8%)</t>
  </si>
  <si>
    <t>2 завтрак (4,6%)</t>
  </si>
  <si>
    <t>Полдник (11,6%)</t>
  </si>
  <si>
    <t>Завтрак (22,5%)</t>
  </si>
  <si>
    <t>Ужин (23,9%)</t>
  </si>
  <si>
    <t>Полдник (12,4%)</t>
  </si>
  <si>
    <t xml:space="preserve">                                                                               Сводная таблица о потреблении  пищевых веществ и энергии детей с 3-7 лет  за 10 дней</t>
  </si>
  <si>
    <t>* При приготовлении блюд используются овощи и фрукты урожая 2023-2024гг. После 1  марта допускается использовать только после термической обработки.</t>
  </si>
  <si>
    <t>Ужин (24,2%)</t>
  </si>
  <si>
    <t>Обед (33,4%)</t>
  </si>
  <si>
    <t>Ужин (23,5%)</t>
  </si>
  <si>
    <t>Обед (33,2%)</t>
  </si>
  <si>
    <t>Завтрак(21,2%)</t>
  </si>
  <si>
    <t>15\5</t>
  </si>
  <si>
    <t>Полдник(16,8%)</t>
  </si>
  <si>
    <t>2[5]</t>
  </si>
  <si>
    <t>Кефир с сахаром( 2 вариант)</t>
  </si>
  <si>
    <t>Запеканка картофельная с печенью, сливочным маслом</t>
  </si>
  <si>
    <t>160\5</t>
  </si>
  <si>
    <t>Каша жидкая молочная рисовая, с маслом сливочным</t>
  </si>
  <si>
    <t>1\9[5]</t>
  </si>
  <si>
    <t>2\3[5]</t>
  </si>
  <si>
    <t>2\13[5]</t>
  </si>
  <si>
    <t>20\15</t>
  </si>
  <si>
    <t>7\5[5]</t>
  </si>
  <si>
    <t>150\4</t>
  </si>
  <si>
    <t xml:space="preserve">Соус сметанный </t>
  </si>
  <si>
    <t>Каша  жидкая молочная  из овсяных хлопьев, с маслом сливочным</t>
  </si>
  <si>
    <t>Каша вязкая (пшеничная)</t>
  </si>
  <si>
    <t>1[5]</t>
  </si>
  <si>
    <t>278[4]</t>
  </si>
  <si>
    <t>Макароны отварные</t>
  </si>
  <si>
    <t>Рыба, тушеная с овощами</t>
  </si>
  <si>
    <t>90\40</t>
  </si>
  <si>
    <t>2 завтрак (6,9%)</t>
  </si>
  <si>
    <t>Обед (39,0%)</t>
  </si>
  <si>
    <t xml:space="preserve">  Полдник (11,5%)</t>
  </si>
  <si>
    <t>Биточки картофельные, запеченные</t>
  </si>
  <si>
    <t>Пюре картофельное</t>
  </si>
  <si>
    <t>Овощное пюре</t>
  </si>
  <si>
    <t>28\3[5]</t>
  </si>
  <si>
    <t>Борщ с капустой и  картофелем (со сметаной т/о)</t>
  </si>
  <si>
    <t>Сыр (порциями, российский )</t>
  </si>
  <si>
    <t>50\3[5]</t>
  </si>
  <si>
    <t>54/18[5]</t>
  </si>
  <si>
    <t>Завтрак (20,8%)</t>
  </si>
  <si>
    <t>Полдник (14.8%)</t>
  </si>
  <si>
    <t>Ужин (20,6%)</t>
  </si>
  <si>
    <t>Таблица ( 3-7 лет)</t>
  </si>
  <si>
    <t>среднесуточных наборов пищевых продуктов, используемых для приготовления блюд и напитков</t>
  </si>
  <si>
    <t>Наименование продуктов</t>
  </si>
  <si>
    <t>Норма на 1 ребенка, г, мл (нетто)</t>
  </si>
  <si>
    <t xml:space="preserve"> ДНИ</t>
  </si>
  <si>
    <t xml:space="preserve">За 1 день </t>
  </si>
  <si>
    <t>Молоко, в т.ч.Кислом</t>
  </si>
  <si>
    <t>Творог</t>
  </si>
  <si>
    <t>Сметана</t>
  </si>
  <si>
    <t>Сыр</t>
  </si>
  <si>
    <t>Мясо 1 категори</t>
  </si>
  <si>
    <t>Птица</t>
  </si>
  <si>
    <t>Субпродукты(печень)</t>
  </si>
  <si>
    <t>Рыба</t>
  </si>
  <si>
    <t>Яйцо куриное</t>
  </si>
  <si>
    <t>Картофель</t>
  </si>
  <si>
    <t>Овощи, зелень</t>
  </si>
  <si>
    <t>Фрукты свежие</t>
  </si>
  <si>
    <t>Фрукты сухие</t>
  </si>
  <si>
    <t>Соки фруктовые</t>
  </si>
  <si>
    <t>Витамин напитки</t>
  </si>
  <si>
    <t>Хлеб ржаной</t>
  </si>
  <si>
    <t>Хлеб пшеничный</t>
  </si>
  <si>
    <t>Крупы, бобовые</t>
  </si>
  <si>
    <t>Макаронные изделия</t>
  </si>
  <si>
    <t>Мука пшеничная</t>
  </si>
  <si>
    <t>Масло сливочное</t>
  </si>
  <si>
    <t>Масло растительное</t>
  </si>
  <si>
    <t>Кондитерские изделия</t>
  </si>
  <si>
    <t>Чай</t>
  </si>
  <si>
    <t>Какао-порошок</t>
  </si>
  <si>
    <t>Кофейный нап</t>
  </si>
  <si>
    <t>Сахар</t>
  </si>
  <si>
    <t>Дрожжи</t>
  </si>
  <si>
    <t>Крахмал</t>
  </si>
  <si>
    <t>Соль йодиров пищ</t>
  </si>
  <si>
    <t>2023 год</t>
  </si>
  <si>
    <t>сезон: осенне-зимний</t>
  </si>
  <si>
    <t xml:space="preserve"> </t>
  </si>
  <si>
    <t>Обед(33,4%)</t>
  </si>
  <si>
    <t>Ужин (22,2%)</t>
  </si>
  <si>
    <t>Завтрак (21,0%)</t>
  </si>
  <si>
    <t>2 завтрак (4,9%)</t>
  </si>
  <si>
    <t>Полдник (12,3%)</t>
  </si>
  <si>
    <t>Ужин (23,8%)</t>
  </si>
  <si>
    <t>Завтрак 2(6,3%)</t>
  </si>
  <si>
    <t>Обед (36,0%)</t>
  </si>
  <si>
    <t>2 Завтрак  (7,2%)</t>
  </si>
  <si>
    <t>Обед (37,1%)</t>
  </si>
  <si>
    <t>Завтрак (22,2%)</t>
  </si>
  <si>
    <t>Обед (35,6%)</t>
  </si>
  <si>
    <t>Обед (37,8%)</t>
  </si>
  <si>
    <t>181[1]</t>
  </si>
  <si>
    <t>229[2]</t>
  </si>
  <si>
    <t>1\13[5]</t>
  </si>
  <si>
    <t>414[2]</t>
  </si>
  <si>
    <t>418[2]</t>
  </si>
  <si>
    <t>32[2]</t>
  </si>
  <si>
    <t>86[2]</t>
  </si>
  <si>
    <t>299[2]</t>
  </si>
  <si>
    <t>335[2]</t>
  </si>
  <si>
    <t>394[2]</t>
  </si>
  <si>
    <t>245[2]</t>
  </si>
  <si>
    <t>115[3]</t>
  </si>
  <si>
    <t>419[2]</t>
  </si>
  <si>
    <t>271[2]</t>
  </si>
  <si>
    <t>293[4]</t>
  </si>
  <si>
    <t>413[2]</t>
  </si>
  <si>
    <t>386[2]</t>
  </si>
  <si>
    <t>21[2]</t>
  </si>
  <si>
    <t>189/129[2]</t>
  </si>
  <si>
    <t>315\373[2]</t>
  </si>
  <si>
    <t>302[4]</t>
  </si>
  <si>
    <t>308[2]</t>
  </si>
  <si>
    <t>132[3]</t>
  </si>
  <si>
    <t>227[2]</t>
  </si>
  <si>
    <t>416[2]</t>
  </si>
  <si>
    <t>55[2]</t>
  </si>
  <si>
    <t>73[2]</t>
  </si>
  <si>
    <t>324[2]</t>
  </si>
  <si>
    <t>339[2]</t>
  </si>
  <si>
    <t>437\494[2]</t>
  </si>
  <si>
    <t>284[2]</t>
  </si>
  <si>
    <t>174[1]</t>
  </si>
  <si>
    <t>19[1]</t>
  </si>
  <si>
    <t>321[2]</t>
  </si>
  <si>
    <t>372[2]</t>
  </si>
  <si>
    <t>231[2]</t>
  </si>
  <si>
    <t>292[2]</t>
  </si>
  <si>
    <t>441[2]</t>
  </si>
  <si>
    <t>274[2]</t>
  </si>
  <si>
    <t>77[4]</t>
  </si>
  <si>
    <t>230[2]</t>
  </si>
  <si>
    <t>98[1]</t>
  </si>
  <si>
    <t>375\372[2]</t>
  </si>
  <si>
    <t>182[2]</t>
  </si>
  <si>
    <t>432[2]</t>
  </si>
  <si>
    <t>113[3]</t>
  </si>
  <si>
    <t>281[2]</t>
  </si>
  <si>
    <t>144[1]</t>
  </si>
  <si>
    <t>34[2]</t>
  </si>
  <si>
    <t>91\128[2]</t>
  </si>
  <si>
    <t>124[4]</t>
  </si>
  <si>
    <t>331[2]</t>
  </si>
  <si>
    <t>363[2]</t>
  </si>
  <si>
    <t>204[1]</t>
  </si>
  <si>
    <t>63[2]</t>
  </si>
  <si>
    <t>322[2]</t>
  </si>
  <si>
    <t>302(4)</t>
  </si>
  <si>
    <t>437\503[2]</t>
  </si>
  <si>
    <t>319[2]</t>
  </si>
  <si>
    <t>87[2]</t>
  </si>
  <si>
    <t>449[2]</t>
  </si>
  <si>
    <t>261[2]</t>
  </si>
  <si>
    <t>197[3]</t>
  </si>
  <si>
    <t>90\132[2]</t>
  </si>
  <si>
    <t>82[3]</t>
  </si>
  <si>
    <t>300[1]</t>
  </si>
  <si>
    <t>*На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2018г.(в электронном виде). Есть заключение Роспотребнадзора , прилагается (копия).</t>
  </si>
  <si>
    <t>1.Сборник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.-544 с.,[1]</t>
  </si>
  <si>
    <t>2.Сборник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2016. – 640 с.,[2]</t>
  </si>
  <si>
    <t>3.Сборник технологических карт, рецептур блюд кулинарных изделий для детского питания. – Уфа: ООО Фирма «Партнер» (части 1 и 2), 2015 [4]</t>
  </si>
  <si>
    <t>4.Организация питания в дошкольных образовательных учреждениях. – М, 2007 ( электронном виде)  ,[3]</t>
  </si>
  <si>
    <t>6.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 электронном виде),[5]</t>
  </si>
  <si>
    <t>83\60\126[2]</t>
  </si>
  <si>
    <t>200/8</t>
  </si>
  <si>
    <t>Обед (36,3%)</t>
  </si>
  <si>
    <t>Ужин (24,9%)</t>
  </si>
  <si>
    <t>Cалат из свёклы с сыром</t>
  </si>
  <si>
    <t>Салат из свёклы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</si>
</sst>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"/>
  </numFmts>
  <fonts count="2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sz val="7.5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2" fontId="4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2" fontId="3" fillId="0" borderId="6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0" fontId="4" fillId="0" borderId="0" xfId="0" applyFont="1"/>
    <xf numFmtId="10" fontId="4" fillId="0" borderId="0" xfId="0" applyNumberFormat="1" applyFont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" fontId="4" fillId="0" borderId="0" xfId="0" applyNumberFormat="1" applyFont="1"/>
    <xf numFmtId="0" fontId="4" fillId="0" borderId="6" xfId="0" applyFont="1" applyBorder="1"/>
    <xf numFmtId="2" fontId="13" fillId="2" borderId="0" xfId="0" applyNumberFormat="1" applyFont="1" applyFill="1"/>
    <xf numFmtId="2" fontId="1" fillId="0" borderId="0" xfId="0" applyNumberFormat="1" applyFont="1" applyAlignment="1">
      <alignment vertical="center"/>
    </xf>
    <xf numFmtId="2" fontId="12" fillId="2" borderId="0" xfId="0" applyNumberFormat="1" applyFont="1" applyFill="1"/>
    <xf numFmtId="1" fontId="13" fillId="2" borderId="0" xfId="0" applyNumberFormat="1" applyFont="1" applyFill="1"/>
    <xf numFmtId="2" fontId="13" fillId="2" borderId="0" xfId="0" applyNumberFormat="1" applyFont="1" applyFill="1" applyAlignment="1">
      <alignment horizontal="center" vertical="center"/>
    </xf>
    <xf numFmtId="2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top" wrapText="1"/>
    </xf>
    <xf numFmtId="1" fontId="12" fillId="2" borderId="0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2" fillId="2" borderId="9" xfId="0" applyNumberFormat="1" applyFont="1" applyFill="1" applyBorder="1" applyAlignment="1">
      <alignment horizontal="center" vertical="center" wrapText="1"/>
    </xf>
    <xf numFmtId="2" fontId="12" fillId="2" borderId="9" xfId="0" applyNumberFormat="1" applyFont="1" applyFill="1" applyBorder="1" applyAlignment="1">
      <alignment horizontal="left" vertical="center" wrapText="1"/>
    </xf>
    <xf numFmtId="1" fontId="12" fillId="2" borderId="9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1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2" borderId="0" xfId="0" applyFont="1" applyFill="1"/>
    <xf numFmtId="2" fontId="12" fillId="2" borderId="1" xfId="0" applyNumberFormat="1" applyFont="1" applyFill="1" applyBorder="1" applyAlignment="1">
      <alignment horizontal="left" vertical="center" wrapText="1"/>
    </xf>
    <xf numFmtId="2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left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vertical="center"/>
    </xf>
    <xf numFmtId="1" fontId="12" fillId="2" borderId="2" xfId="0" applyNumberFormat="1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center" vertical="center" wrapText="1"/>
    </xf>
    <xf numFmtId="1" fontId="12" fillId="2" borderId="6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center" vertical="center" wrapText="1"/>
    </xf>
    <xf numFmtId="1" fontId="12" fillId="2" borderId="15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/>
    <xf numFmtId="0" fontId="0" fillId="0" borderId="0" xfId="0" applyFill="1"/>
    <xf numFmtId="0" fontId="6" fillId="0" borderId="6" xfId="0" applyFont="1" applyFill="1" applyBorder="1"/>
    <xf numFmtId="0" fontId="5" fillId="3" borderId="6" xfId="0" applyFont="1" applyFill="1" applyBorder="1" applyAlignment="1"/>
    <xf numFmtId="165" fontId="6" fillId="0" borderId="6" xfId="0" applyNumberFormat="1" applyFont="1" applyFill="1" applyBorder="1"/>
    <xf numFmtId="0" fontId="5" fillId="3" borderId="6" xfId="0" applyFont="1" applyFill="1" applyBorder="1"/>
    <xf numFmtId="0" fontId="6" fillId="0" borderId="16" xfId="0" applyFont="1" applyFill="1" applyBorder="1"/>
    <xf numFmtId="0" fontId="5" fillId="3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0" fontId="6" fillId="0" borderId="6" xfId="0" applyFont="1" applyFill="1" applyBorder="1" applyAlignment="1"/>
    <xf numFmtId="0" fontId="6" fillId="0" borderId="6" xfId="0" applyFont="1" applyFill="1" applyBorder="1" applyAlignment="1">
      <alignment vertical="center"/>
    </xf>
    <xf numFmtId="0" fontId="4" fillId="0" borderId="6" xfId="0" applyFont="1" applyFill="1" applyBorder="1"/>
    <xf numFmtId="0" fontId="21" fillId="0" borderId="6" xfId="0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left" vertical="center" wrapText="1"/>
    </xf>
    <xf numFmtId="2" fontId="12" fillId="2" borderId="10" xfId="0" applyNumberFormat="1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wrapText="1"/>
    </xf>
    <xf numFmtId="1" fontId="12" fillId="2" borderId="3" xfId="0" applyNumberFormat="1" applyFont="1" applyFill="1" applyBorder="1" applyAlignment="1">
      <alignment horizont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wrapText="1"/>
    </xf>
    <xf numFmtId="2" fontId="12" fillId="2" borderId="3" xfId="0" applyNumberFormat="1" applyFont="1" applyFill="1" applyBorder="1" applyAlignment="1">
      <alignment horizont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2" fontId="3" fillId="0" borderId="17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18" fillId="0" borderId="6" xfId="0" applyFont="1" applyBorder="1" applyAlignment="1">
      <alignment vertical="center" wrapText="1"/>
    </xf>
    <xf numFmtId="0" fontId="0" fillId="0" borderId="6" xfId="0" applyBorder="1" applyAlignment="1"/>
    <xf numFmtId="0" fontId="19" fillId="0" borderId="6" xfId="0" applyFont="1" applyFill="1" applyBorder="1" applyAlignment="1">
      <alignment vertical="center" wrapText="1"/>
    </xf>
    <xf numFmtId="0" fontId="20" fillId="0" borderId="6" xfId="0" applyFont="1" applyFill="1" applyBorder="1" applyAlignment="1"/>
    <xf numFmtId="0" fontId="18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45;&#1061;&#1053;&#1054;&#1051;&#1054;&#1043;&#1048;/&#1052;&#1077;&#1085;&#1102;%202021-2022%204%20&#1095;&#1077;&#1090;&#1074;&#1077;&#1088;&#1090;&#1100;/&#1057;&#1072;&#1076;&#1099;/&#1089;&#1072;&#1076;%20&#1075;&#1086;&#1088;&#1086;&#1076;%203-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 100"/>
      <sheetName val="титул"/>
      <sheetName val="Лист1"/>
      <sheetName val="на выход"/>
      <sheetName val="сводки БЖУ"/>
      <sheetName val="сводки по продуктам"/>
      <sheetName val="объемы по приемам пищи"/>
      <sheetName val="библиография"/>
    </sheetNames>
    <sheetDataSet>
      <sheetData sheetId="0">
        <row r="155">
          <cell r="D155">
            <v>250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3" sqref="D23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4"/>
  <sheetViews>
    <sheetView topLeftCell="B369" zoomScale="91" zoomScaleNormal="91" zoomScaleSheetLayoutView="70" workbookViewId="0">
      <selection activeCell="C351" sqref="C351"/>
    </sheetView>
  </sheetViews>
  <sheetFormatPr defaultColWidth="9.140625" defaultRowHeight="15.75"/>
  <cols>
    <col min="1" max="1" width="0" style="29" hidden="1" customWidth="1"/>
    <col min="2" max="2" width="14.7109375" style="29" customWidth="1"/>
    <col min="3" max="3" width="83.140625" style="29" customWidth="1"/>
    <col min="4" max="4" width="19.7109375" style="49" customWidth="1"/>
    <col min="5" max="5" width="15.7109375" style="29" customWidth="1"/>
    <col min="6" max="6" width="15.85546875" style="29" customWidth="1"/>
    <col min="7" max="7" width="15.7109375" style="29" customWidth="1"/>
    <col min="8" max="8" width="35" style="29" customWidth="1"/>
    <col min="9" max="9" width="17.28515625" style="29" customWidth="1"/>
    <col min="10" max="16384" width="9.140625" style="29"/>
  </cols>
  <sheetData>
    <row r="1" spans="1:9" s="24" customFormat="1">
      <c r="B1" s="25" t="s">
        <v>142</v>
      </c>
      <c r="C1" s="26"/>
      <c r="D1" s="27"/>
      <c r="E1" s="28"/>
      <c r="F1" s="28"/>
      <c r="G1" s="28"/>
      <c r="H1" s="28"/>
      <c r="I1" s="28"/>
    </row>
    <row r="2" spans="1:9" s="24" customFormat="1">
      <c r="B2" s="25" t="s">
        <v>51</v>
      </c>
      <c r="C2" s="26"/>
      <c r="D2" s="27"/>
      <c r="E2" s="28"/>
      <c r="F2" s="28"/>
      <c r="G2" s="28"/>
      <c r="H2" s="28"/>
      <c r="I2" s="28"/>
    </row>
    <row r="3" spans="1:9" s="24" customFormat="1">
      <c r="B3" s="25" t="s">
        <v>144</v>
      </c>
      <c r="C3" s="26"/>
      <c r="D3" s="27"/>
      <c r="E3" s="28"/>
      <c r="F3" s="28"/>
      <c r="G3" s="28"/>
      <c r="H3" s="28"/>
      <c r="I3" s="28"/>
    </row>
    <row r="4" spans="1:9" s="24" customFormat="1">
      <c r="B4" s="25" t="s">
        <v>53</v>
      </c>
      <c r="C4" s="26"/>
      <c r="D4" s="27"/>
      <c r="E4" s="28"/>
      <c r="F4" s="28"/>
      <c r="G4" s="28"/>
      <c r="H4" s="28"/>
      <c r="I4" s="28"/>
    </row>
    <row r="5" spans="1:9" ht="46.5" customHeight="1">
      <c r="B5" s="171" t="s">
        <v>0</v>
      </c>
      <c r="C5" s="171" t="s">
        <v>1</v>
      </c>
      <c r="D5" s="172" t="s">
        <v>2</v>
      </c>
      <c r="E5" s="171" t="s">
        <v>3</v>
      </c>
      <c r="F5" s="171"/>
      <c r="G5" s="171"/>
      <c r="H5" s="171" t="s">
        <v>4</v>
      </c>
      <c r="I5" s="99" t="s">
        <v>64</v>
      </c>
    </row>
    <row r="6" spans="1:9" ht="27.75" customHeight="1">
      <c r="B6" s="171"/>
      <c r="C6" s="171"/>
      <c r="D6" s="172"/>
      <c r="E6" s="30" t="s">
        <v>5</v>
      </c>
      <c r="F6" s="30" t="s">
        <v>6</v>
      </c>
      <c r="G6" s="30" t="s">
        <v>7</v>
      </c>
      <c r="H6" s="171"/>
      <c r="I6" s="30" t="s">
        <v>8</v>
      </c>
    </row>
    <row r="7" spans="1:9">
      <c r="B7" s="171" t="s">
        <v>205</v>
      </c>
      <c r="C7" s="171"/>
      <c r="D7" s="171"/>
      <c r="E7" s="171"/>
      <c r="F7" s="171"/>
      <c r="G7" s="171"/>
      <c r="H7" s="171"/>
      <c r="I7" s="171"/>
    </row>
    <row r="8" spans="1:9" ht="31.15" customHeight="1">
      <c r="A8" s="29">
        <v>1</v>
      </c>
      <c r="B8" s="102" t="s">
        <v>293</v>
      </c>
      <c r="C8" s="16" t="s">
        <v>141</v>
      </c>
      <c r="D8" s="31" t="s">
        <v>77</v>
      </c>
      <c r="E8" s="32">
        <v>6.07</v>
      </c>
      <c r="F8" s="32">
        <v>7.09</v>
      </c>
      <c r="G8" s="32">
        <v>32.380000000000003</v>
      </c>
      <c r="H8" s="32">
        <v>218</v>
      </c>
      <c r="I8" s="32">
        <v>1.17</v>
      </c>
    </row>
    <row r="9" spans="1:9" ht="20.100000000000001" customHeight="1">
      <c r="A9" s="29">
        <v>1</v>
      </c>
      <c r="B9" s="102" t="s">
        <v>294</v>
      </c>
      <c r="C9" s="16" t="s">
        <v>139</v>
      </c>
      <c r="D9" s="66" t="s">
        <v>138</v>
      </c>
      <c r="E9" s="32">
        <v>7.52</v>
      </c>
      <c r="F9" s="32">
        <v>9.5</v>
      </c>
      <c r="G9" s="32">
        <v>1.51</v>
      </c>
      <c r="H9" s="32">
        <v>121</v>
      </c>
      <c r="I9" s="32">
        <v>0.15</v>
      </c>
    </row>
    <row r="10" spans="1:9" s="62" customFormat="1" ht="20.100000000000001" customHeight="1">
      <c r="B10" s="101" t="s">
        <v>295</v>
      </c>
      <c r="C10" s="61" t="s">
        <v>78</v>
      </c>
      <c r="D10" s="66" t="s">
        <v>206</v>
      </c>
      <c r="E10" s="32">
        <v>1.04</v>
      </c>
      <c r="F10" s="32">
        <v>3.73</v>
      </c>
      <c r="G10" s="32">
        <v>7.06</v>
      </c>
      <c r="H10" s="32">
        <v>67</v>
      </c>
      <c r="I10" s="32">
        <v>0</v>
      </c>
    </row>
    <row r="11" spans="1:9" s="62" customFormat="1" ht="20.100000000000001" customHeight="1">
      <c r="B11" s="139"/>
      <c r="C11" s="61" t="s">
        <v>70</v>
      </c>
      <c r="D11" s="66">
        <v>10</v>
      </c>
      <c r="E11" s="32">
        <v>0.7</v>
      </c>
      <c r="F11" s="32">
        <v>7.0000000000000007E-2</v>
      </c>
      <c r="G11" s="32">
        <v>4.7</v>
      </c>
      <c r="H11" s="32">
        <v>22.7</v>
      </c>
      <c r="I11" s="32">
        <v>0</v>
      </c>
    </row>
    <row r="12" spans="1:9" s="62" customFormat="1" ht="20.100000000000001" customHeight="1">
      <c r="B12" s="103" t="s">
        <v>296</v>
      </c>
      <c r="C12" s="61" t="s">
        <v>80</v>
      </c>
      <c r="D12" s="66">
        <v>180</v>
      </c>
      <c r="E12" s="32">
        <v>2.85</v>
      </c>
      <c r="F12" s="32">
        <v>2.41</v>
      </c>
      <c r="G12" s="32">
        <v>11.37</v>
      </c>
      <c r="H12" s="32">
        <v>79.06</v>
      </c>
      <c r="I12" s="32">
        <v>1.17</v>
      </c>
    </row>
    <row r="13" spans="1:9" ht="20.100000000000001" customHeight="1">
      <c r="A13" s="29">
        <v>1</v>
      </c>
      <c r="B13" s="57"/>
      <c r="C13" s="57" t="s">
        <v>10</v>
      </c>
      <c r="D13" s="58">
        <v>500</v>
      </c>
      <c r="E13" s="57">
        <f>SUM(E8:E12)</f>
        <v>18.18</v>
      </c>
      <c r="F13" s="103">
        <f>SUM(F8:F12)</f>
        <v>22.8</v>
      </c>
      <c r="G13" s="103">
        <f>SUM(G8:G12)</f>
        <v>57.02</v>
      </c>
      <c r="H13" s="103">
        <f>SUM(H8:H12)</f>
        <v>507.76</v>
      </c>
      <c r="I13" s="103">
        <f>SUM(I8:I12)</f>
        <v>2.4899999999999998</v>
      </c>
    </row>
    <row r="14" spans="1:9" ht="20.100000000000001" customHeight="1">
      <c r="B14" s="171" t="s">
        <v>286</v>
      </c>
      <c r="C14" s="171"/>
      <c r="D14" s="171"/>
      <c r="E14" s="171"/>
      <c r="F14" s="171"/>
      <c r="G14" s="171"/>
      <c r="H14" s="171"/>
      <c r="I14" s="171"/>
    </row>
    <row r="15" spans="1:9" ht="20.100000000000001" customHeight="1">
      <c r="B15" s="57" t="s">
        <v>297</v>
      </c>
      <c r="C15" s="61" t="s">
        <v>81</v>
      </c>
      <c r="D15" s="58">
        <v>150</v>
      </c>
      <c r="E15" s="32">
        <v>0.5</v>
      </c>
      <c r="F15" s="32">
        <v>0</v>
      </c>
      <c r="G15" s="32">
        <v>10.1</v>
      </c>
      <c r="H15" s="32">
        <v>43</v>
      </c>
      <c r="I15" s="32">
        <v>2</v>
      </c>
    </row>
    <row r="16" spans="1:9" ht="20.100000000000001" customHeight="1">
      <c r="B16" s="30"/>
      <c r="C16" s="57" t="s">
        <v>10</v>
      </c>
      <c r="D16" s="31">
        <f>D15</f>
        <v>150</v>
      </c>
      <c r="E16" s="30">
        <f>E15</f>
        <v>0.5</v>
      </c>
      <c r="F16" s="101">
        <f t="shared" ref="F16:I16" si="0">F15</f>
        <v>0</v>
      </c>
      <c r="G16" s="101">
        <f t="shared" si="0"/>
        <v>10.1</v>
      </c>
      <c r="H16" s="101">
        <f t="shared" si="0"/>
        <v>43</v>
      </c>
      <c r="I16" s="101">
        <f t="shared" si="0"/>
        <v>2</v>
      </c>
    </row>
    <row r="17" spans="1:9" ht="15.95" customHeight="1">
      <c r="A17" s="29">
        <v>1</v>
      </c>
      <c r="B17" s="171" t="s">
        <v>280</v>
      </c>
      <c r="C17" s="171"/>
      <c r="D17" s="171"/>
      <c r="E17" s="171"/>
      <c r="F17" s="171"/>
      <c r="G17" s="171"/>
      <c r="H17" s="171"/>
      <c r="I17" s="171"/>
    </row>
    <row r="18" spans="1:9" ht="20.100000000000001" customHeight="1">
      <c r="B18" s="102" t="s">
        <v>298</v>
      </c>
      <c r="C18" s="61" t="s">
        <v>369</v>
      </c>
      <c r="D18" s="31">
        <v>50</v>
      </c>
      <c r="E18" s="33">
        <v>2.35</v>
      </c>
      <c r="F18" s="33">
        <v>4.75</v>
      </c>
      <c r="G18" s="33">
        <v>3.57</v>
      </c>
      <c r="H18" s="33">
        <v>66.400000000000006</v>
      </c>
      <c r="I18" s="33">
        <v>4.1100000000000003</v>
      </c>
    </row>
    <row r="19" spans="1:9" s="62" customFormat="1" ht="20.100000000000001" customHeight="1">
      <c r="B19" s="102" t="s">
        <v>299</v>
      </c>
      <c r="C19" s="61" t="s">
        <v>82</v>
      </c>
      <c r="D19" s="97">
        <v>250</v>
      </c>
      <c r="E19" s="65">
        <v>2.19</v>
      </c>
      <c r="F19" s="65">
        <v>2.84</v>
      </c>
      <c r="G19" s="65">
        <v>14.29</v>
      </c>
      <c r="H19" s="65">
        <v>91.5</v>
      </c>
      <c r="I19" s="65">
        <v>8.25</v>
      </c>
    </row>
    <row r="20" spans="1:9" s="62" customFormat="1" ht="20.100000000000001" customHeight="1">
      <c r="B20" s="139" t="s">
        <v>213</v>
      </c>
      <c r="C20" s="61" t="s">
        <v>83</v>
      </c>
      <c r="D20" s="97">
        <v>35</v>
      </c>
      <c r="E20" s="65">
        <v>8.1</v>
      </c>
      <c r="F20" s="65">
        <v>5.9</v>
      </c>
      <c r="G20" s="65">
        <v>0.1</v>
      </c>
      <c r="H20" s="65">
        <v>85</v>
      </c>
      <c r="I20" s="65">
        <v>0.3</v>
      </c>
    </row>
    <row r="21" spans="1:9" ht="20.100000000000001" customHeight="1">
      <c r="B21" s="50" t="s">
        <v>300</v>
      </c>
      <c r="C21" s="16" t="s">
        <v>84</v>
      </c>
      <c r="D21" s="58">
        <v>70</v>
      </c>
      <c r="E21" s="33">
        <v>7.76</v>
      </c>
      <c r="F21" s="33">
        <v>19.100000000000001</v>
      </c>
      <c r="G21" s="33">
        <v>11.24</v>
      </c>
      <c r="H21" s="33">
        <v>245</v>
      </c>
      <c r="I21" s="33">
        <v>0.1</v>
      </c>
    </row>
    <row r="22" spans="1:9" ht="22.5" customHeight="1">
      <c r="B22" s="165" t="s">
        <v>301</v>
      </c>
      <c r="C22" s="107" t="s">
        <v>85</v>
      </c>
      <c r="D22" s="53">
        <v>140</v>
      </c>
      <c r="E22" s="65">
        <v>5.15</v>
      </c>
      <c r="F22" s="65">
        <v>4.2</v>
      </c>
      <c r="G22" s="65">
        <v>24.6</v>
      </c>
      <c r="H22" s="65">
        <v>157.22</v>
      </c>
      <c r="I22" s="65">
        <v>0</v>
      </c>
    </row>
    <row r="23" spans="1:9" ht="19.5" customHeight="1">
      <c r="B23" s="42" t="s">
        <v>302</v>
      </c>
      <c r="C23" s="43" t="s">
        <v>69</v>
      </c>
      <c r="D23" s="44">
        <v>200</v>
      </c>
      <c r="E23" s="65">
        <v>0.44</v>
      </c>
      <c r="F23" s="65">
        <v>0.02</v>
      </c>
      <c r="G23" s="65">
        <v>20.78</v>
      </c>
      <c r="H23" s="65">
        <v>85</v>
      </c>
      <c r="I23" s="65">
        <v>0.4</v>
      </c>
    </row>
    <row r="24" spans="1:9" ht="20.100000000000001" customHeight="1">
      <c r="A24" s="29">
        <v>1</v>
      </c>
      <c r="B24" s="42"/>
      <c r="C24" s="43" t="s">
        <v>12</v>
      </c>
      <c r="D24" s="44">
        <v>30</v>
      </c>
      <c r="E24" s="65">
        <v>2</v>
      </c>
      <c r="F24" s="65">
        <v>0.4</v>
      </c>
      <c r="G24" s="65">
        <v>10</v>
      </c>
      <c r="H24" s="65">
        <v>58</v>
      </c>
      <c r="I24" s="65">
        <v>0</v>
      </c>
    </row>
    <row r="25" spans="1:9" ht="20.100000000000001" customHeight="1">
      <c r="A25" s="29">
        <v>1</v>
      </c>
      <c r="B25" s="103"/>
      <c r="C25" s="61" t="s">
        <v>70</v>
      </c>
      <c r="D25" s="104">
        <v>15</v>
      </c>
      <c r="E25" s="65">
        <v>1</v>
      </c>
      <c r="F25" s="65">
        <v>0.1</v>
      </c>
      <c r="G25" s="65">
        <v>7</v>
      </c>
      <c r="H25" s="65">
        <v>34</v>
      </c>
      <c r="I25" s="65">
        <v>0</v>
      </c>
    </row>
    <row r="26" spans="1:9" ht="20.100000000000001" customHeight="1">
      <c r="A26" s="29">
        <v>1</v>
      </c>
      <c r="B26" s="30"/>
      <c r="C26" s="30" t="s">
        <v>10</v>
      </c>
      <c r="D26" s="31">
        <f t="shared" ref="D26:I26" si="1">SUM(D18:D25)</f>
        <v>790</v>
      </c>
      <c r="E26" s="30">
        <f t="shared" si="1"/>
        <v>28.99</v>
      </c>
      <c r="F26" s="103">
        <f t="shared" si="1"/>
        <v>37.310000000000009</v>
      </c>
      <c r="G26" s="103">
        <f t="shared" si="1"/>
        <v>91.580000000000013</v>
      </c>
      <c r="H26" s="103">
        <f t="shared" si="1"/>
        <v>822.12</v>
      </c>
      <c r="I26" s="103">
        <f t="shared" si="1"/>
        <v>13.16</v>
      </c>
    </row>
    <row r="27" spans="1:9" ht="20.100000000000001" customHeight="1">
      <c r="A27" s="29">
        <v>1</v>
      </c>
      <c r="B27" s="171" t="s">
        <v>207</v>
      </c>
      <c r="C27" s="171"/>
      <c r="D27" s="171"/>
      <c r="E27" s="171"/>
      <c r="F27" s="171"/>
      <c r="G27" s="171"/>
      <c r="H27" s="171"/>
      <c r="I27" s="171"/>
    </row>
    <row r="28" spans="1:9" s="62" customFormat="1" ht="20.100000000000001" customHeight="1">
      <c r="B28" s="102" t="s">
        <v>303</v>
      </c>
      <c r="C28" s="61" t="s">
        <v>86</v>
      </c>
      <c r="D28" s="66">
        <v>150</v>
      </c>
      <c r="E28" s="65">
        <v>19.3</v>
      </c>
      <c r="F28" s="65">
        <v>16.3</v>
      </c>
      <c r="G28" s="65">
        <v>15.8</v>
      </c>
      <c r="H28" s="65">
        <v>287</v>
      </c>
      <c r="I28" s="65">
        <v>0.39</v>
      </c>
    </row>
    <row r="29" spans="1:9" s="62" customFormat="1" ht="20.100000000000001" customHeight="1">
      <c r="B29" s="80" t="s">
        <v>304</v>
      </c>
      <c r="C29" s="61" t="s">
        <v>87</v>
      </c>
      <c r="D29" s="66">
        <v>50</v>
      </c>
      <c r="E29" s="65">
        <v>1.83</v>
      </c>
      <c r="F29" s="65">
        <v>2.76</v>
      </c>
      <c r="G29" s="65">
        <v>3.96</v>
      </c>
      <c r="H29" s="65">
        <v>66.8</v>
      </c>
      <c r="I29" s="65">
        <v>0.13</v>
      </c>
    </row>
    <row r="30" spans="1:9" s="62" customFormat="1" ht="20.100000000000001" customHeight="1">
      <c r="B30" s="109" t="s">
        <v>305</v>
      </c>
      <c r="C30" s="61" t="s">
        <v>125</v>
      </c>
      <c r="D30" s="66">
        <v>200</v>
      </c>
      <c r="E30" s="65">
        <v>6.09</v>
      </c>
      <c r="F30" s="65">
        <v>5.42</v>
      </c>
      <c r="G30" s="65">
        <v>10.08</v>
      </c>
      <c r="H30" s="65">
        <v>113.3</v>
      </c>
      <c r="I30" s="65">
        <v>2.73</v>
      </c>
    </row>
    <row r="31" spans="1:9" s="62" customFormat="1" ht="20.100000000000001" customHeight="1">
      <c r="B31" s="80"/>
      <c r="C31" s="111" t="s">
        <v>10</v>
      </c>
      <c r="D31" s="66">
        <f t="shared" ref="D31:I31" si="2">SUM(D28:D30)</f>
        <v>400</v>
      </c>
      <c r="E31" s="80">
        <f t="shared" si="2"/>
        <v>27.220000000000002</v>
      </c>
      <c r="F31" s="109">
        <f t="shared" si="2"/>
        <v>24.480000000000004</v>
      </c>
      <c r="G31" s="109">
        <f t="shared" si="2"/>
        <v>29.840000000000003</v>
      </c>
      <c r="H31" s="109">
        <f t="shared" si="2"/>
        <v>467.1</v>
      </c>
      <c r="I31" s="109">
        <f t="shared" si="2"/>
        <v>3.25</v>
      </c>
    </row>
    <row r="32" spans="1:9" s="62" customFormat="1" ht="20.100000000000001" customHeight="1">
      <c r="B32" s="167" t="s">
        <v>281</v>
      </c>
      <c r="C32" s="168"/>
      <c r="D32" s="168"/>
      <c r="E32" s="168"/>
      <c r="F32" s="168"/>
      <c r="G32" s="168"/>
      <c r="H32" s="168"/>
      <c r="I32" s="168"/>
    </row>
    <row r="33" spans="1:9" s="62" customFormat="1" ht="20.100000000000001" customHeight="1">
      <c r="B33" s="102" t="s">
        <v>306</v>
      </c>
      <c r="C33" s="61" t="s">
        <v>88</v>
      </c>
      <c r="D33" s="66">
        <v>70</v>
      </c>
      <c r="E33" s="65">
        <v>7.3</v>
      </c>
      <c r="F33" s="65">
        <v>3.29</v>
      </c>
      <c r="G33" s="65">
        <v>6.71</v>
      </c>
      <c r="H33" s="65">
        <v>85</v>
      </c>
      <c r="I33" s="65">
        <v>0.28999999999999998</v>
      </c>
    </row>
    <row r="34" spans="1:9" s="62" customFormat="1" ht="20.100000000000001" customHeight="1">
      <c r="B34" s="139" t="s">
        <v>214</v>
      </c>
      <c r="C34" s="61" t="s">
        <v>89</v>
      </c>
      <c r="D34" s="66">
        <v>120</v>
      </c>
      <c r="E34" s="65">
        <v>2.7</v>
      </c>
      <c r="F34" s="65">
        <v>2.9</v>
      </c>
      <c r="G34" s="65">
        <v>15.1</v>
      </c>
      <c r="H34" s="65">
        <v>100</v>
      </c>
      <c r="I34" s="65">
        <v>7.1</v>
      </c>
    </row>
    <row r="35" spans="1:9" s="62" customFormat="1" ht="20.100000000000001" customHeight="1">
      <c r="B35" s="80" t="s">
        <v>91</v>
      </c>
      <c r="C35" s="61" t="s">
        <v>90</v>
      </c>
      <c r="D35" s="66">
        <v>100</v>
      </c>
      <c r="E35" s="65">
        <v>2.06</v>
      </c>
      <c r="F35" s="65">
        <v>3.24</v>
      </c>
      <c r="G35" s="65">
        <v>9.42</v>
      </c>
      <c r="H35" s="65">
        <v>75.099999999999994</v>
      </c>
      <c r="I35" s="65">
        <v>17.16</v>
      </c>
    </row>
    <row r="36" spans="1:9" ht="21.75" customHeight="1">
      <c r="A36" s="29">
        <v>1</v>
      </c>
      <c r="B36" s="80"/>
      <c r="C36" s="61" t="s">
        <v>12</v>
      </c>
      <c r="D36" s="31">
        <v>20</v>
      </c>
      <c r="E36" s="65">
        <v>1.3</v>
      </c>
      <c r="F36" s="65">
        <v>0.2</v>
      </c>
      <c r="G36" s="65">
        <v>6.7</v>
      </c>
      <c r="H36" s="65">
        <v>39</v>
      </c>
      <c r="I36" s="65">
        <v>0</v>
      </c>
    </row>
    <row r="37" spans="1:9" s="62" customFormat="1" ht="21.75" customHeight="1">
      <c r="B37" s="101"/>
      <c r="C37" s="61" t="s">
        <v>70</v>
      </c>
      <c r="D37" s="102">
        <v>15</v>
      </c>
      <c r="E37" s="65">
        <v>1</v>
      </c>
      <c r="F37" s="65">
        <v>0.1</v>
      </c>
      <c r="G37" s="65">
        <v>7</v>
      </c>
      <c r="H37" s="65">
        <v>34</v>
      </c>
      <c r="I37" s="65">
        <v>0</v>
      </c>
    </row>
    <row r="38" spans="1:9" s="62" customFormat="1" ht="21.75" customHeight="1">
      <c r="B38" s="103" t="s">
        <v>307</v>
      </c>
      <c r="C38" s="61" t="s">
        <v>26</v>
      </c>
      <c r="D38" s="104">
        <v>200</v>
      </c>
      <c r="E38" s="65">
        <v>0.2</v>
      </c>
      <c r="F38" s="65">
        <v>0.1</v>
      </c>
      <c r="G38" s="65">
        <v>12.21</v>
      </c>
      <c r="H38" s="65">
        <v>49</v>
      </c>
      <c r="I38" s="65">
        <v>1.6</v>
      </c>
    </row>
    <row r="39" spans="1:9" s="62" customFormat="1" ht="20.100000000000001" customHeight="1">
      <c r="A39" s="62">
        <v>1</v>
      </c>
      <c r="B39" s="63"/>
      <c r="C39" s="111" t="s">
        <v>10</v>
      </c>
      <c r="D39" s="64">
        <f t="shared" ref="D39:I39" si="3">SUM(D33:D38)</f>
        <v>525</v>
      </c>
      <c r="E39" s="80">
        <f t="shared" si="3"/>
        <v>14.56</v>
      </c>
      <c r="F39" s="125">
        <f t="shared" si="3"/>
        <v>9.8299999999999983</v>
      </c>
      <c r="G39" s="125">
        <f t="shared" si="3"/>
        <v>57.14</v>
      </c>
      <c r="H39" s="125">
        <f t="shared" si="3"/>
        <v>382.1</v>
      </c>
      <c r="I39" s="125">
        <f t="shared" si="3"/>
        <v>26.150000000000002</v>
      </c>
    </row>
    <row r="40" spans="1:9" ht="20.100000000000001" customHeight="1">
      <c r="A40" s="29">
        <v>1</v>
      </c>
      <c r="B40" s="117"/>
      <c r="C40" s="117" t="s">
        <v>13</v>
      </c>
      <c r="D40" s="119">
        <f>D13+D16+D26+D31+D39</f>
        <v>2365</v>
      </c>
      <c r="E40" s="117">
        <f>E13+E16+E26+E31+E39</f>
        <v>89.45</v>
      </c>
      <c r="F40" s="117">
        <f t="shared" ref="F40:I40" si="4">F13+F16+F26+F31+F39</f>
        <v>94.420000000000016</v>
      </c>
      <c r="G40" s="117">
        <f t="shared" si="4"/>
        <v>245.68</v>
      </c>
      <c r="H40" s="117">
        <f t="shared" si="4"/>
        <v>2222.08</v>
      </c>
      <c r="I40" s="117">
        <f t="shared" si="4"/>
        <v>47.05</v>
      </c>
    </row>
    <row r="41" spans="1:9" s="62" customFormat="1" ht="20.100000000000001" customHeight="1">
      <c r="B41" s="120"/>
      <c r="C41" s="120" t="s">
        <v>136</v>
      </c>
      <c r="D41" s="121"/>
      <c r="E41" s="120">
        <v>54</v>
      </c>
      <c r="F41" s="120">
        <v>60</v>
      </c>
      <c r="G41" s="120">
        <v>261</v>
      </c>
      <c r="H41" s="120">
        <v>1800</v>
      </c>
      <c r="I41" s="120">
        <v>50</v>
      </c>
    </row>
    <row r="42" spans="1:9" s="62" customFormat="1" ht="20.100000000000001" customHeight="1">
      <c r="B42" s="122"/>
      <c r="C42" s="122" t="s">
        <v>137</v>
      </c>
      <c r="D42" s="123"/>
      <c r="E42" s="122">
        <f>ROUND(E40/E41*100-100,2)</f>
        <v>65.650000000000006</v>
      </c>
      <c r="F42" s="122">
        <f t="shared" ref="F42:I42" si="5">ROUND(F40/F41*100-100,2)</f>
        <v>57.37</v>
      </c>
      <c r="G42" s="122">
        <f t="shared" si="5"/>
        <v>-5.87</v>
      </c>
      <c r="H42" s="122">
        <f t="shared" si="5"/>
        <v>23.45</v>
      </c>
      <c r="I42" s="122">
        <f t="shared" si="5"/>
        <v>-5.9</v>
      </c>
    </row>
    <row r="43" spans="1:9" s="24" customFormat="1" ht="15" customHeight="1">
      <c r="B43" s="34"/>
      <c r="C43" s="34"/>
      <c r="D43" s="35"/>
      <c r="E43" s="36"/>
      <c r="F43" s="36"/>
      <c r="G43" s="36"/>
      <c r="H43" s="36"/>
      <c r="I43" s="36"/>
    </row>
    <row r="44" spans="1:9" s="24" customFormat="1" ht="20.100000000000001" customHeight="1">
      <c r="B44" s="25" t="s">
        <v>145</v>
      </c>
      <c r="C44" s="26"/>
      <c r="D44" s="35"/>
      <c r="E44" s="36"/>
      <c r="F44" s="36"/>
      <c r="G44" s="36"/>
      <c r="H44" s="36"/>
      <c r="I44" s="36"/>
    </row>
    <row r="45" spans="1:9" s="24" customFormat="1" ht="20.100000000000001" customHeight="1">
      <c r="B45" s="25" t="s">
        <v>51</v>
      </c>
      <c r="C45" s="26"/>
      <c r="D45" s="35"/>
      <c r="E45" s="36"/>
      <c r="F45" s="36"/>
      <c r="G45" s="36"/>
      <c r="H45" s="36"/>
      <c r="I45" s="36"/>
    </row>
    <row r="46" spans="1:9" s="24" customFormat="1" ht="20.100000000000001" customHeight="1">
      <c r="B46" s="25" t="s">
        <v>144</v>
      </c>
      <c r="C46" s="26"/>
      <c r="D46" s="35"/>
      <c r="E46" s="36"/>
      <c r="F46" s="36"/>
      <c r="G46" s="36"/>
      <c r="H46" s="36"/>
      <c r="I46" s="36"/>
    </row>
    <row r="47" spans="1:9" s="24" customFormat="1">
      <c r="B47" s="25" t="s">
        <v>53</v>
      </c>
      <c r="C47" s="26"/>
      <c r="D47" s="27"/>
      <c r="E47" s="28"/>
      <c r="F47" s="28"/>
      <c r="G47" s="28"/>
      <c r="H47" s="28"/>
      <c r="I47" s="28"/>
    </row>
    <row r="48" spans="1:9" s="24" customFormat="1" ht="41.25" customHeight="1">
      <c r="B48" s="169" t="s">
        <v>0</v>
      </c>
      <c r="C48" s="169" t="s">
        <v>1</v>
      </c>
      <c r="D48" s="170" t="s">
        <v>2</v>
      </c>
      <c r="E48" s="171" t="s">
        <v>3</v>
      </c>
      <c r="F48" s="171"/>
      <c r="G48" s="171"/>
      <c r="H48" s="171" t="s">
        <v>4</v>
      </c>
      <c r="I48" s="99"/>
    </row>
    <row r="49" spans="1:9" s="24" customFormat="1" ht="41.25" customHeight="1">
      <c r="B49" s="169"/>
      <c r="C49" s="169"/>
      <c r="D49" s="170"/>
      <c r="E49" s="30" t="s">
        <v>5</v>
      </c>
      <c r="F49" s="30" t="s">
        <v>6</v>
      </c>
      <c r="G49" s="30" t="s">
        <v>7</v>
      </c>
      <c r="H49" s="171"/>
      <c r="I49" s="30" t="s">
        <v>8</v>
      </c>
    </row>
    <row r="50" spans="1:9" ht="20.100000000000001" customHeight="1">
      <c r="A50" s="29">
        <v>2</v>
      </c>
      <c r="B50" s="171" t="s">
        <v>196</v>
      </c>
      <c r="C50" s="171"/>
      <c r="D50" s="171"/>
      <c r="E50" s="171"/>
      <c r="F50" s="171"/>
      <c r="G50" s="171"/>
      <c r="H50" s="171"/>
      <c r="I50" s="171"/>
    </row>
    <row r="51" spans="1:9" ht="21" customHeight="1">
      <c r="A51" s="29">
        <v>2</v>
      </c>
      <c r="B51" s="104" t="s">
        <v>94</v>
      </c>
      <c r="C51" s="45" t="s">
        <v>93</v>
      </c>
      <c r="D51" s="66" t="s">
        <v>77</v>
      </c>
      <c r="E51" s="33">
        <v>7.47</v>
      </c>
      <c r="F51" s="33">
        <v>8.09</v>
      </c>
      <c r="G51" s="33">
        <v>36.090000000000003</v>
      </c>
      <c r="H51" s="33">
        <v>252</v>
      </c>
      <c r="I51" s="33">
        <v>1.17</v>
      </c>
    </row>
    <row r="52" spans="1:9" ht="18" customHeight="1">
      <c r="A52" s="29">
        <v>2</v>
      </c>
      <c r="B52" s="139" t="s">
        <v>208</v>
      </c>
      <c r="C52" s="45" t="s">
        <v>95</v>
      </c>
      <c r="D52" s="66">
        <v>15</v>
      </c>
      <c r="E52" s="65">
        <v>3.5</v>
      </c>
      <c r="F52" s="65">
        <v>4.5</v>
      </c>
      <c r="G52" s="65">
        <v>0</v>
      </c>
      <c r="H52" s="65">
        <v>56</v>
      </c>
      <c r="I52" s="65">
        <v>0</v>
      </c>
    </row>
    <row r="53" spans="1:9" ht="18" customHeight="1">
      <c r="A53" s="29">
        <v>2</v>
      </c>
      <c r="B53" s="92"/>
      <c r="C53" s="45" t="s">
        <v>79</v>
      </c>
      <c r="D53" s="64">
        <v>30</v>
      </c>
      <c r="E53" s="33">
        <v>2</v>
      </c>
      <c r="F53" s="65">
        <v>0.2</v>
      </c>
      <c r="G53" s="65">
        <v>14</v>
      </c>
      <c r="H53" s="65">
        <v>67</v>
      </c>
      <c r="I53" s="65">
        <v>0</v>
      </c>
    </row>
    <row r="54" spans="1:9" s="62" customFormat="1" ht="18" customHeight="1">
      <c r="B54" s="126" t="s">
        <v>308</v>
      </c>
      <c r="C54" s="45" t="s">
        <v>104</v>
      </c>
      <c r="D54" s="104">
        <v>180</v>
      </c>
      <c r="E54" s="65">
        <v>2.67</v>
      </c>
      <c r="F54" s="65">
        <v>2.34</v>
      </c>
      <c r="G54" s="65">
        <v>10.31</v>
      </c>
      <c r="H54" s="65">
        <v>73</v>
      </c>
      <c r="I54" s="65">
        <v>1.2</v>
      </c>
    </row>
    <row r="55" spans="1:9" s="62" customFormat="1" ht="18" customHeight="1">
      <c r="A55" s="62">
        <v>2</v>
      </c>
      <c r="B55" s="103"/>
      <c r="C55" s="103" t="s">
        <v>10</v>
      </c>
      <c r="D55" s="104">
        <v>427.5</v>
      </c>
      <c r="E55" s="103">
        <f>SUM(E51:E54)</f>
        <v>15.639999999999999</v>
      </c>
      <c r="F55" s="103">
        <f>SUM(F51:F54)</f>
        <v>15.129999999999999</v>
      </c>
      <c r="G55" s="103">
        <f>SUM(G51:G54)</f>
        <v>60.400000000000006</v>
      </c>
      <c r="H55" s="103">
        <f>SUM(H51:H54)</f>
        <v>448</v>
      </c>
      <c r="I55" s="103">
        <f>SUM(I51:I54)</f>
        <v>2.37</v>
      </c>
    </row>
    <row r="56" spans="1:9" s="62" customFormat="1" ht="18" customHeight="1">
      <c r="B56" s="167" t="s">
        <v>149</v>
      </c>
      <c r="C56" s="168"/>
      <c r="D56" s="168"/>
      <c r="E56" s="168"/>
      <c r="F56" s="168"/>
      <c r="G56" s="168"/>
      <c r="H56" s="168"/>
      <c r="I56" s="168"/>
    </row>
    <row r="57" spans="1:9" s="62" customFormat="1" ht="18" customHeight="1">
      <c r="B57" s="66" t="s">
        <v>309</v>
      </c>
      <c r="C57" s="61" t="s">
        <v>65</v>
      </c>
      <c r="D57" s="104">
        <v>100</v>
      </c>
      <c r="E57" s="65">
        <v>0.4</v>
      </c>
      <c r="F57" s="65">
        <v>0.4</v>
      </c>
      <c r="G57" s="65">
        <v>9.8000000000000007</v>
      </c>
      <c r="H57" s="65">
        <v>44</v>
      </c>
      <c r="I57" s="65">
        <v>10</v>
      </c>
    </row>
    <row r="58" spans="1:9" ht="18" customHeight="1">
      <c r="A58" s="29">
        <v>2</v>
      </c>
      <c r="B58" s="103"/>
      <c r="C58" s="103" t="s">
        <v>10</v>
      </c>
      <c r="D58" s="104">
        <f>D57</f>
        <v>100</v>
      </c>
      <c r="E58" s="103">
        <f>E57</f>
        <v>0.4</v>
      </c>
      <c r="F58" s="103">
        <f t="shared" ref="F58:I58" si="6">F57</f>
        <v>0.4</v>
      </c>
      <c r="G58" s="103">
        <f t="shared" si="6"/>
        <v>9.8000000000000007</v>
      </c>
      <c r="H58" s="103">
        <f t="shared" si="6"/>
        <v>44</v>
      </c>
      <c r="I58" s="103">
        <f t="shared" si="6"/>
        <v>10</v>
      </c>
    </row>
    <row r="59" spans="1:9" ht="18" customHeight="1">
      <c r="A59" s="29">
        <v>2</v>
      </c>
      <c r="B59" s="167" t="s">
        <v>287</v>
      </c>
      <c r="C59" s="168"/>
      <c r="D59" s="168"/>
      <c r="E59" s="168"/>
      <c r="F59" s="168"/>
      <c r="G59" s="168"/>
      <c r="H59" s="168"/>
      <c r="I59" s="168"/>
    </row>
    <row r="60" spans="1:9" ht="18" customHeight="1">
      <c r="A60" s="29">
        <v>2</v>
      </c>
      <c r="B60" s="103" t="s">
        <v>310</v>
      </c>
      <c r="C60" s="61" t="s">
        <v>66</v>
      </c>
      <c r="D60" s="104">
        <v>50</v>
      </c>
      <c r="E60" s="37">
        <v>0.7</v>
      </c>
      <c r="F60" s="37">
        <v>2.54</v>
      </c>
      <c r="G60" s="37">
        <v>4.51</v>
      </c>
      <c r="H60" s="37">
        <v>43.7</v>
      </c>
      <c r="I60" s="37">
        <v>16.23</v>
      </c>
    </row>
    <row r="61" spans="1:9" s="62" customFormat="1" ht="17.45" customHeight="1">
      <c r="B61" s="66" t="s">
        <v>311</v>
      </c>
      <c r="C61" s="61" t="s">
        <v>30</v>
      </c>
      <c r="D61" s="133" t="s">
        <v>171</v>
      </c>
      <c r="E61" s="37">
        <v>7.35</v>
      </c>
      <c r="F61" s="37">
        <v>13.71</v>
      </c>
      <c r="G61" s="37">
        <v>13.48</v>
      </c>
      <c r="H61" s="37">
        <v>121.5</v>
      </c>
      <c r="I61" s="37">
        <v>9.11</v>
      </c>
    </row>
    <row r="62" spans="1:9" s="62" customFormat="1" ht="19.899999999999999" customHeight="1">
      <c r="B62" s="66" t="s">
        <v>312</v>
      </c>
      <c r="C62" s="61" t="s">
        <v>96</v>
      </c>
      <c r="D62" s="104" t="s">
        <v>97</v>
      </c>
      <c r="E62" s="37">
        <v>11.66</v>
      </c>
      <c r="F62" s="37">
        <v>18.88</v>
      </c>
      <c r="G62" s="37">
        <v>20.260000000000002</v>
      </c>
      <c r="H62" s="37">
        <v>302.39999999999998</v>
      </c>
      <c r="I62" s="37">
        <v>20.03</v>
      </c>
    </row>
    <row r="63" spans="1:9" ht="29.45" customHeight="1">
      <c r="B63" s="139" t="s">
        <v>313</v>
      </c>
      <c r="C63" s="61" t="s">
        <v>146</v>
      </c>
      <c r="D63" s="31">
        <v>170</v>
      </c>
      <c r="E63" s="37">
        <v>0</v>
      </c>
      <c r="F63" s="37">
        <v>0</v>
      </c>
      <c r="G63" s="37">
        <v>20.29</v>
      </c>
      <c r="H63" s="37">
        <v>79.33</v>
      </c>
      <c r="I63" s="37">
        <v>21.31</v>
      </c>
    </row>
    <row r="64" spans="1:9" ht="18" customHeight="1">
      <c r="A64" s="29">
        <v>2</v>
      </c>
      <c r="B64" s="30"/>
      <c r="C64" s="61" t="s">
        <v>12</v>
      </c>
      <c r="D64" s="31">
        <v>30</v>
      </c>
      <c r="E64" s="37">
        <v>2</v>
      </c>
      <c r="F64" s="37">
        <v>0.4</v>
      </c>
      <c r="G64" s="37">
        <v>10</v>
      </c>
      <c r="H64" s="37">
        <v>58</v>
      </c>
      <c r="I64" s="37">
        <v>0</v>
      </c>
    </row>
    <row r="65" spans="1:9" ht="18" customHeight="1">
      <c r="A65" s="29">
        <v>2</v>
      </c>
      <c r="B65" s="30"/>
      <c r="C65" s="61" t="s">
        <v>70</v>
      </c>
      <c r="D65" s="31">
        <v>20</v>
      </c>
      <c r="E65" s="37">
        <v>1.3</v>
      </c>
      <c r="F65" s="37">
        <v>0.1</v>
      </c>
      <c r="G65" s="37">
        <v>9.3000000000000007</v>
      </c>
      <c r="H65" s="37">
        <v>45</v>
      </c>
      <c r="I65" s="37">
        <v>0</v>
      </c>
    </row>
    <row r="66" spans="1:9" ht="18" customHeight="1">
      <c r="A66" s="29">
        <v>2</v>
      </c>
      <c r="B66" s="30"/>
      <c r="C66" s="30" t="s">
        <v>10</v>
      </c>
      <c r="D66" s="31">
        <v>685</v>
      </c>
      <c r="E66" s="30">
        <f>SUM(E60:E65)</f>
        <v>23.01</v>
      </c>
      <c r="F66" s="103">
        <f>SUM(F60:F65)</f>
        <v>35.629999999999995</v>
      </c>
      <c r="G66" s="103">
        <f>SUM(G60:G65)</f>
        <v>77.839999999999989</v>
      </c>
      <c r="H66" s="103">
        <f>SUM(H60:H65)</f>
        <v>649.92999999999995</v>
      </c>
      <c r="I66" s="103">
        <f>SUM(I60:I65)</f>
        <v>66.680000000000007</v>
      </c>
    </row>
    <row r="67" spans="1:9" ht="18" customHeight="1">
      <c r="B67" s="171" t="s">
        <v>198</v>
      </c>
      <c r="C67" s="171"/>
      <c r="D67" s="171"/>
      <c r="E67" s="171"/>
      <c r="F67" s="171"/>
      <c r="G67" s="171"/>
      <c r="H67" s="171"/>
      <c r="I67" s="171"/>
    </row>
    <row r="68" spans="1:9" s="62" customFormat="1" ht="18" customHeight="1">
      <c r="B68" s="80"/>
      <c r="C68" s="61" t="s">
        <v>147</v>
      </c>
      <c r="D68" s="66">
        <v>50</v>
      </c>
      <c r="E68" s="84">
        <v>2.65</v>
      </c>
      <c r="F68" s="84">
        <v>1.87</v>
      </c>
      <c r="G68" s="84">
        <v>34.75</v>
      </c>
      <c r="H68" s="84">
        <v>83.3</v>
      </c>
      <c r="I68" s="84">
        <v>0</v>
      </c>
    </row>
    <row r="69" spans="1:9" s="62" customFormat="1" ht="18" customHeight="1">
      <c r="B69" s="126" t="s">
        <v>223</v>
      </c>
      <c r="C69" s="61" t="s">
        <v>209</v>
      </c>
      <c r="D69" s="66" t="s">
        <v>148</v>
      </c>
      <c r="E69" s="84">
        <v>5.22</v>
      </c>
      <c r="F69" s="84">
        <v>4.5</v>
      </c>
      <c r="G69" s="84">
        <v>12.19</v>
      </c>
      <c r="H69" s="38">
        <v>110</v>
      </c>
      <c r="I69" s="84">
        <v>1.26</v>
      </c>
    </row>
    <row r="70" spans="1:9" s="62" customFormat="1" ht="18" customHeight="1">
      <c r="B70" s="80"/>
      <c r="C70" s="111" t="s">
        <v>10</v>
      </c>
      <c r="D70" s="66">
        <v>235</v>
      </c>
      <c r="E70" s="83">
        <f>SUM(E68:E69)</f>
        <v>7.8699999999999992</v>
      </c>
      <c r="F70" s="83">
        <f>SUM(F68:F69)</f>
        <v>6.37</v>
      </c>
      <c r="G70" s="83">
        <f>SUM(G68:G69)</f>
        <v>46.94</v>
      </c>
      <c r="H70" s="83">
        <f>SUM(H68:H69)</f>
        <v>193.3</v>
      </c>
      <c r="I70" s="83">
        <f>SUM(I68:I69)</f>
        <v>1.26</v>
      </c>
    </row>
    <row r="71" spans="1:9" s="62" customFormat="1" ht="18" customHeight="1">
      <c r="B71" s="167" t="s">
        <v>197</v>
      </c>
      <c r="C71" s="168"/>
      <c r="D71" s="168"/>
      <c r="E71" s="168"/>
      <c r="F71" s="168"/>
      <c r="G71" s="168"/>
      <c r="H71" s="168"/>
      <c r="I71" s="168"/>
    </row>
    <row r="72" spans="1:9" s="62" customFormat="1" ht="18.75" customHeight="1">
      <c r="B72" s="144" t="s">
        <v>233</v>
      </c>
      <c r="C72" s="91" t="s">
        <v>99</v>
      </c>
      <c r="D72" s="66">
        <v>50</v>
      </c>
      <c r="E72" s="38">
        <v>0.6</v>
      </c>
      <c r="F72" s="38">
        <v>2.37</v>
      </c>
      <c r="G72" s="38">
        <v>3.85</v>
      </c>
      <c r="H72" s="38">
        <v>38.75</v>
      </c>
      <c r="I72" s="38">
        <v>3.75</v>
      </c>
    </row>
    <row r="73" spans="1:9" ht="19.5" customHeight="1">
      <c r="B73" s="138" t="s">
        <v>314</v>
      </c>
      <c r="C73" s="39" t="s">
        <v>210</v>
      </c>
      <c r="D73" s="40" t="s">
        <v>211</v>
      </c>
      <c r="E73" s="38">
        <v>10.220000000000001</v>
      </c>
      <c r="F73" s="38">
        <v>9.8800000000000008</v>
      </c>
      <c r="G73" s="38">
        <v>27.4</v>
      </c>
      <c r="H73" s="38">
        <v>239</v>
      </c>
      <c r="I73" s="38">
        <v>5.43</v>
      </c>
    </row>
    <row r="74" spans="1:9" s="62" customFormat="1" ht="18" customHeight="1">
      <c r="A74" s="62">
        <v>2</v>
      </c>
      <c r="B74" s="95"/>
      <c r="C74" s="39" t="s">
        <v>12</v>
      </c>
      <c r="D74" s="40">
        <v>20</v>
      </c>
      <c r="E74" s="38">
        <v>1.3</v>
      </c>
      <c r="F74" s="38">
        <v>0.2</v>
      </c>
      <c r="G74" s="38">
        <v>6.7</v>
      </c>
      <c r="H74" s="38">
        <v>39</v>
      </c>
      <c r="I74" s="38">
        <v>0</v>
      </c>
    </row>
    <row r="75" spans="1:9" ht="18" customHeight="1">
      <c r="A75" s="29">
        <v>2</v>
      </c>
      <c r="B75" s="89"/>
      <c r="C75" s="39" t="s">
        <v>79</v>
      </c>
      <c r="D75" s="40">
        <v>30</v>
      </c>
      <c r="E75" s="38">
        <v>2</v>
      </c>
      <c r="F75" s="38">
        <v>0.2</v>
      </c>
      <c r="G75" s="38">
        <v>14</v>
      </c>
      <c r="H75" s="38">
        <v>67</v>
      </c>
      <c r="I75" s="38">
        <v>0</v>
      </c>
    </row>
    <row r="76" spans="1:9" s="62" customFormat="1" ht="18" customHeight="1">
      <c r="B76" s="103" t="s">
        <v>315</v>
      </c>
      <c r="C76" s="39" t="s">
        <v>100</v>
      </c>
      <c r="D76" s="40" t="s">
        <v>101</v>
      </c>
      <c r="E76" s="38">
        <v>0.01</v>
      </c>
      <c r="F76" s="38">
        <v>0.01</v>
      </c>
      <c r="G76" s="38">
        <v>5.99</v>
      </c>
      <c r="H76" s="38">
        <v>23.94</v>
      </c>
      <c r="I76" s="38">
        <v>0.02</v>
      </c>
    </row>
    <row r="77" spans="1:9" ht="18" customHeight="1">
      <c r="A77" s="29">
        <v>2</v>
      </c>
      <c r="B77" s="33"/>
      <c r="C77" s="30" t="s">
        <v>10</v>
      </c>
      <c r="D77" s="31">
        <v>451</v>
      </c>
      <c r="E77" s="30">
        <f>SUM(E72:E76)</f>
        <v>14.13</v>
      </c>
      <c r="F77" s="103">
        <f>SUM(F72:F76)</f>
        <v>12.659999999999998</v>
      </c>
      <c r="G77" s="103">
        <f>SUM(G72:G76)</f>
        <v>57.940000000000005</v>
      </c>
      <c r="H77" s="103">
        <f>SUM(H72:H76)</f>
        <v>407.69</v>
      </c>
      <c r="I77" s="103">
        <f>SUM(I72:I76)</f>
        <v>9.1999999999999993</v>
      </c>
    </row>
    <row r="78" spans="1:9" ht="18" customHeight="1">
      <c r="A78" s="29">
        <v>2</v>
      </c>
      <c r="B78" s="33"/>
      <c r="C78" s="30" t="s">
        <v>14</v>
      </c>
      <c r="D78" s="31">
        <f>D77+D70+D66+D58+D55</f>
        <v>1898.5</v>
      </c>
      <c r="E78" s="30">
        <f>E55+E58+E66+E70+E77</f>
        <v>61.05</v>
      </c>
      <c r="F78" s="80">
        <f>F55+F58+F66+F70+F77</f>
        <v>70.19</v>
      </c>
      <c r="G78" s="80">
        <f>G55+G58+G66+G70+G77</f>
        <v>252.92</v>
      </c>
      <c r="H78" s="80">
        <f>H55+H58+H66+H70+H77</f>
        <v>1742.9199999999998</v>
      </c>
      <c r="I78" s="80">
        <f>I55+I58+I66+I70+I77</f>
        <v>89.510000000000019</v>
      </c>
    </row>
    <row r="79" spans="1:9" s="62" customFormat="1" ht="20.100000000000001" customHeight="1">
      <c r="B79" s="120"/>
      <c r="C79" s="120" t="s">
        <v>136</v>
      </c>
      <c r="D79" s="121"/>
      <c r="E79" s="120">
        <v>54</v>
      </c>
      <c r="F79" s="120">
        <v>60</v>
      </c>
      <c r="G79" s="120">
        <v>261</v>
      </c>
      <c r="H79" s="120">
        <v>1800</v>
      </c>
      <c r="I79" s="120">
        <v>50</v>
      </c>
    </row>
    <row r="80" spans="1:9" s="62" customFormat="1" ht="20.100000000000001" customHeight="1">
      <c r="B80" s="122"/>
      <c r="C80" s="122" t="s">
        <v>137</v>
      </c>
      <c r="D80" s="123"/>
      <c r="E80" s="122">
        <f>ROUND(E78/E79*100-100,2)</f>
        <v>13.06</v>
      </c>
      <c r="F80" s="122">
        <f t="shared" ref="F80:I80" si="7">ROUND(F78/F79*100-100,2)</f>
        <v>16.98</v>
      </c>
      <c r="G80" s="122">
        <f t="shared" si="7"/>
        <v>-3.1</v>
      </c>
      <c r="H80" s="122">
        <f t="shared" si="7"/>
        <v>-3.17</v>
      </c>
      <c r="I80" s="122">
        <f t="shared" si="7"/>
        <v>79.02</v>
      </c>
    </row>
    <row r="81" spans="1:9" s="24" customFormat="1" ht="20.100000000000001" customHeight="1">
      <c r="B81" s="25" t="s">
        <v>150</v>
      </c>
      <c r="C81" s="26"/>
      <c r="D81" s="35"/>
      <c r="E81" s="36"/>
      <c r="F81" s="36"/>
      <c r="G81" s="36"/>
      <c r="H81" s="36"/>
      <c r="I81" s="36"/>
    </row>
    <row r="82" spans="1:9" s="24" customFormat="1" ht="20.100000000000001" customHeight="1">
      <c r="B82" s="25" t="s">
        <v>51</v>
      </c>
      <c r="C82" s="26"/>
      <c r="D82" s="35"/>
      <c r="E82" s="36"/>
      <c r="F82" s="36"/>
      <c r="G82" s="36"/>
      <c r="H82" s="36"/>
      <c r="I82" s="36"/>
    </row>
    <row r="83" spans="1:9" s="24" customFormat="1" ht="20.100000000000001" customHeight="1">
      <c r="B83" s="25" t="s">
        <v>143</v>
      </c>
      <c r="C83" s="26"/>
      <c r="D83" s="35"/>
      <c r="E83" s="36"/>
      <c r="F83" s="36"/>
      <c r="G83" s="36"/>
      <c r="H83" s="36"/>
      <c r="I83" s="36"/>
    </row>
    <row r="84" spans="1:9" s="24" customFormat="1">
      <c r="B84" s="25" t="s">
        <v>53</v>
      </c>
      <c r="C84" s="26"/>
      <c r="D84" s="27"/>
      <c r="E84" s="28"/>
      <c r="F84" s="28"/>
      <c r="G84" s="28"/>
      <c r="H84" s="28"/>
      <c r="I84" s="28"/>
    </row>
    <row r="85" spans="1:9" s="24" customFormat="1" ht="27" customHeight="1">
      <c r="B85" s="169" t="s">
        <v>0</v>
      </c>
      <c r="C85" s="169" t="s">
        <v>1</v>
      </c>
      <c r="D85" s="170" t="s">
        <v>2</v>
      </c>
      <c r="E85" s="171" t="s">
        <v>3</v>
      </c>
      <c r="F85" s="171"/>
      <c r="G85" s="171"/>
      <c r="H85" s="171" t="s">
        <v>4</v>
      </c>
      <c r="I85" s="99"/>
    </row>
    <row r="86" spans="1:9" s="24" customFormat="1" ht="37.5" customHeight="1">
      <c r="B86" s="169"/>
      <c r="C86" s="169"/>
      <c r="D86" s="170"/>
      <c r="E86" s="30" t="s">
        <v>5</v>
      </c>
      <c r="F86" s="30" t="s">
        <v>6</v>
      </c>
      <c r="G86" s="30" t="s">
        <v>7</v>
      </c>
      <c r="H86" s="171"/>
      <c r="I86" s="30" t="s">
        <v>8</v>
      </c>
    </row>
    <row r="87" spans="1:9" ht="22.5" customHeight="1">
      <c r="A87" s="29">
        <v>3</v>
      </c>
      <c r="B87" s="171" t="s">
        <v>238</v>
      </c>
      <c r="C87" s="171"/>
      <c r="D87" s="171"/>
      <c r="E87" s="171"/>
      <c r="F87" s="171"/>
      <c r="G87" s="171"/>
      <c r="H87" s="171"/>
      <c r="I87" s="171"/>
    </row>
    <row r="88" spans="1:9" ht="23.25" customHeight="1">
      <c r="A88" s="29">
        <v>3</v>
      </c>
      <c r="B88" s="46" t="s">
        <v>117</v>
      </c>
      <c r="C88" s="61" t="s">
        <v>212</v>
      </c>
      <c r="D88" s="64" t="s">
        <v>77</v>
      </c>
      <c r="E88" s="32">
        <v>5.0599999999999996</v>
      </c>
      <c r="F88" s="32">
        <v>7.09</v>
      </c>
      <c r="G88" s="32">
        <v>33.42</v>
      </c>
      <c r="H88" s="32">
        <v>218</v>
      </c>
      <c r="I88" s="32">
        <v>1.17</v>
      </c>
    </row>
    <row r="89" spans="1:9" s="62" customFormat="1" ht="25.5" customHeight="1">
      <c r="B89" s="46" t="s">
        <v>316</v>
      </c>
      <c r="C89" s="61" t="s">
        <v>63</v>
      </c>
      <c r="D89" s="106" t="s">
        <v>103</v>
      </c>
      <c r="E89" s="32">
        <v>5.08</v>
      </c>
      <c r="F89" s="32">
        <v>4.5999999999999996</v>
      </c>
      <c r="G89" s="32">
        <v>0.28000000000000003</v>
      </c>
      <c r="H89" s="32">
        <v>63</v>
      </c>
      <c r="I89" s="32">
        <v>0</v>
      </c>
    </row>
    <row r="90" spans="1:9" s="62" customFormat="1" ht="16.5" customHeight="1">
      <c r="B90" s="46"/>
      <c r="C90" s="61" t="s">
        <v>79</v>
      </c>
      <c r="D90" s="106">
        <v>30</v>
      </c>
      <c r="E90" s="32">
        <v>2</v>
      </c>
      <c r="F90" s="32">
        <v>0.2</v>
      </c>
      <c r="G90" s="32">
        <v>14</v>
      </c>
      <c r="H90" s="32">
        <v>67</v>
      </c>
      <c r="I90" s="32">
        <v>0</v>
      </c>
    </row>
    <row r="91" spans="1:9" s="62" customFormat="1" ht="18" customHeight="1">
      <c r="A91" s="62">
        <v>3</v>
      </c>
      <c r="B91" s="126" t="s">
        <v>317</v>
      </c>
      <c r="C91" s="61" t="s">
        <v>27</v>
      </c>
      <c r="D91" s="64">
        <v>180</v>
      </c>
      <c r="E91" s="32">
        <v>3.67</v>
      </c>
      <c r="F91" s="32">
        <v>3.19</v>
      </c>
      <c r="G91" s="32">
        <v>11.82</v>
      </c>
      <c r="H91" s="32">
        <v>91</v>
      </c>
      <c r="I91" s="32">
        <v>1.43</v>
      </c>
    </row>
    <row r="92" spans="1:9" s="62" customFormat="1" ht="18" customHeight="1">
      <c r="A92" s="62">
        <v>3</v>
      </c>
      <c r="B92" s="63"/>
      <c r="C92" s="63" t="s">
        <v>10</v>
      </c>
      <c r="D92" s="72">
        <v>455</v>
      </c>
      <c r="E92" s="63">
        <f>SUM(E88:E91)</f>
        <v>15.81</v>
      </c>
      <c r="F92" s="105">
        <f>SUM(F88:F91)</f>
        <v>15.079999999999998</v>
      </c>
      <c r="G92" s="105">
        <f>SUM(G88:G91)</f>
        <v>59.52</v>
      </c>
      <c r="H92" s="105">
        <f>SUM(H88:H91)</f>
        <v>439</v>
      </c>
      <c r="I92" s="105">
        <f>SUM(I88:I91)</f>
        <v>2.5999999999999996</v>
      </c>
    </row>
    <row r="93" spans="1:9" s="62" customFormat="1" ht="18" customHeight="1">
      <c r="B93" s="167" t="s">
        <v>174</v>
      </c>
      <c r="C93" s="168"/>
      <c r="D93" s="168"/>
      <c r="E93" s="168"/>
      <c r="F93" s="168"/>
      <c r="G93" s="168"/>
      <c r="H93" s="168"/>
      <c r="I93" s="168"/>
    </row>
    <row r="94" spans="1:9" s="62" customFormat="1" ht="18" customHeight="1">
      <c r="B94" s="63" t="s">
        <v>297</v>
      </c>
      <c r="C94" s="61" t="s">
        <v>151</v>
      </c>
      <c r="D94" s="66">
        <v>180</v>
      </c>
      <c r="E94" s="32">
        <v>0.9</v>
      </c>
      <c r="F94" s="32">
        <v>0</v>
      </c>
      <c r="G94" s="32">
        <v>22.86</v>
      </c>
      <c r="H94" s="32">
        <v>95</v>
      </c>
      <c r="I94" s="32">
        <v>7.2</v>
      </c>
    </row>
    <row r="95" spans="1:9" ht="18" customHeight="1">
      <c r="B95" s="63"/>
      <c r="C95" s="111" t="s">
        <v>10</v>
      </c>
      <c r="D95" s="31">
        <f>D94</f>
        <v>180</v>
      </c>
      <c r="E95" s="46">
        <f>E94</f>
        <v>0.9</v>
      </c>
      <c r="F95" s="46">
        <f t="shared" ref="F95:I95" si="8">F94</f>
        <v>0</v>
      </c>
      <c r="G95" s="46">
        <f t="shared" si="8"/>
        <v>22.86</v>
      </c>
      <c r="H95" s="46">
        <f t="shared" si="8"/>
        <v>95</v>
      </c>
      <c r="I95" s="46">
        <f t="shared" si="8"/>
        <v>7.2</v>
      </c>
    </row>
    <row r="96" spans="1:9" ht="18" customHeight="1">
      <c r="A96" s="29">
        <v>3</v>
      </c>
      <c r="B96" s="171" t="s">
        <v>175</v>
      </c>
      <c r="C96" s="171"/>
      <c r="D96" s="171"/>
      <c r="E96" s="171"/>
      <c r="F96" s="171"/>
      <c r="G96" s="171"/>
      <c r="H96" s="171"/>
      <c r="I96" s="171"/>
    </row>
    <row r="97" spans="1:9" s="62" customFormat="1" ht="18" customHeight="1">
      <c r="B97" s="66" t="s">
        <v>318</v>
      </c>
      <c r="C97" s="61" t="s">
        <v>118</v>
      </c>
      <c r="D97" s="66">
        <v>50</v>
      </c>
      <c r="E97" s="32">
        <v>1.17</v>
      </c>
      <c r="F97" s="32">
        <v>2.2999999999999998</v>
      </c>
      <c r="G97" s="32">
        <v>6.17</v>
      </c>
      <c r="H97" s="32">
        <v>50.1</v>
      </c>
      <c r="I97" s="32">
        <v>3.36</v>
      </c>
    </row>
    <row r="98" spans="1:9" ht="18" customHeight="1">
      <c r="B98" s="127" t="s">
        <v>319</v>
      </c>
      <c r="C98" s="61" t="s">
        <v>152</v>
      </c>
      <c r="D98" s="66" t="s">
        <v>173</v>
      </c>
      <c r="E98" s="65">
        <v>1.39</v>
      </c>
      <c r="F98" s="65">
        <v>3.91</v>
      </c>
      <c r="G98" s="65">
        <v>6.79</v>
      </c>
      <c r="H98" s="65">
        <v>67.8</v>
      </c>
      <c r="I98" s="65">
        <v>14.77</v>
      </c>
    </row>
    <row r="99" spans="1:9" ht="23.25" customHeight="1">
      <c r="B99" s="63" t="s">
        <v>320</v>
      </c>
      <c r="C99" s="61" t="s">
        <v>105</v>
      </c>
      <c r="D99" s="66">
        <v>80</v>
      </c>
      <c r="E99" s="65">
        <v>10.11</v>
      </c>
      <c r="F99" s="65">
        <v>14.27</v>
      </c>
      <c r="G99" s="65">
        <v>8.51</v>
      </c>
      <c r="H99" s="65">
        <v>203</v>
      </c>
      <c r="I99" s="65">
        <v>0.32</v>
      </c>
    </row>
    <row r="100" spans="1:9" ht="18" customHeight="1">
      <c r="B100" s="142" t="s">
        <v>321</v>
      </c>
      <c r="C100" s="61" t="s">
        <v>231</v>
      </c>
      <c r="D100" s="31">
        <v>130</v>
      </c>
      <c r="E100" s="65">
        <v>2.65</v>
      </c>
      <c r="F100" s="65">
        <v>4.16</v>
      </c>
      <c r="G100" s="65">
        <v>17.73</v>
      </c>
      <c r="H100" s="65">
        <v>118.95</v>
      </c>
      <c r="I100" s="65">
        <v>15.73</v>
      </c>
    </row>
    <row r="101" spans="1:9" ht="20.25" customHeight="1">
      <c r="B101" s="63" t="s">
        <v>307</v>
      </c>
      <c r="C101" s="61" t="s">
        <v>26</v>
      </c>
      <c r="D101" s="31">
        <v>200</v>
      </c>
      <c r="E101" s="65">
        <v>0.2</v>
      </c>
      <c r="F101" s="65">
        <v>0.1</v>
      </c>
      <c r="G101" s="65">
        <v>12.21</v>
      </c>
      <c r="H101" s="65">
        <v>49</v>
      </c>
      <c r="I101" s="65">
        <v>1.6</v>
      </c>
    </row>
    <row r="102" spans="1:9" ht="18" customHeight="1">
      <c r="B102" s="63"/>
      <c r="C102" s="16" t="s">
        <v>12</v>
      </c>
      <c r="D102" s="31">
        <v>30</v>
      </c>
      <c r="E102" s="65">
        <v>2</v>
      </c>
      <c r="F102" s="65">
        <v>0.4</v>
      </c>
      <c r="G102" s="65">
        <v>10</v>
      </c>
      <c r="H102" s="65">
        <v>58</v>
      </c>
      <c r="I102" s="65">
        <v>0</v>
      </c>
    </row>
    <row r="103" spans="1:9" ht="18" customHeight="1">
      <c r="A103" s="29">
        <v>3</v>
      </c>
      <c r="B103" s="63"/>
      <c r="C103" s="16" t="s">
        <v>70</v>
      </c>
      <c r="D103" s="31">
        <v>20</v>
      </c>
      <c r="E103" s="65">
        <v>1.3</v>
      </c>
      <c r="F103" s="65">
        <v>0.1</v>
      </c>
      <c r="G103" s="65">
        <v>9.3000000000000007</v>
      </c>
      <c r="H103" s="65">
        <v>45</v>
      </c>
      <c r="I103" s="65">
        <v>0</v>
      </c>
    </row>
    <row r="104" spans="1:9" ht="18" customHeight="1">
      <c r="A104" s="29">
        <v>3</v>
      </c>
      <c r="B104" s="30"/>
      <c r="C104" s="30" t="s">
        <v>10</v>
      </c>
      <c r="D104" s="31">
        <v>721</v>
      </c>
      <c r="E104" s="30">
        <f>SUM(E97:E103)</f>
        <v>18.819999999999997</v>
      </c>
      <c r="F104" s="96">
        <f>SUM(F97:F103)</f>
        <v>25.240000000000002</v>
      </c>
      <c r="G104" s="96">
        <f>SUM(G97:G103)</f>
        <v>70.710000000000008</v>
      </c>
      <c r="H104" s="96">
        <f>SUM(H97:H103)</f>
        <v>591.84999999999991</v>
      </c>
      <c r="I104" s="96">
        <f>SUM(I97:I103)</f>
        <v>35.78</v>
      </c>
    </row>
    <row r="105" spans="1:9" ht="18" customHeight="1">
      <c r="B105" s="171" t="s">
        <v>154</v>
      </c>
      <c r="C105" s="171"/>
      <c r="D105" s="171"/>
      <c r="E105" s="171"/>
      <c r="F105" s="171"/>
      <c r="G105" s="171"/>
      <c r="H105" s="171"/>
      <c r="I105" s="171"/>
    </row>
    <row r="106" spans="1:9" s="62" customFormat="1" ht="24.75" customHeight="1">
      <c r="B106" s="127" t="s">
        <v>322</v>
      </c>
      <c r="C106" s="61" t="s">
        <v>170</v>
      </c>
      <c r="D106" s="66">
        <v>50</v>
      </c>
      <c r="E106" s="65">
        <v>6.3</v>
      </c>
      <c r="F106" s="65">
        <v>2.85</v>
      </c>
      <c r="G106" s="65">
        <v>18.149999999999999</v>
      </c>
      <c r="H106" s="65">
        <v>123</v>
      </c>
      <c r="I106" s="65">
        <v>0.05</v>
      </c>
    </row>
    <row r="107" spans="1:9" s="62" customFormat="1" ht="18" customHeight="1">
      <c r="B107" s="80" t="s">
        <v>315</v>
      </c>
      <c r="C107" s="61" t="s">
        <v>100</v>
      </c>
      <c r="D107" s="66" t="s">
        <v>101</v>
      </c>
      <c r="E107" s="65">
        <v>0.01</v>
      </c>
      <c r="F107" s="65">
        <v>0.01</v>
      </c>
      <c r="G107" s="65">
        <v>5.99</v>
      </c>
      <c r="H107" s="65">
        <v>23.94</v>
      </c>
      <c r="I107" s="65">
        <v>0.02</v>
      </c>
    </row>
    <row r="108" spans="1:9" s="62" customFormat="1" ht="18" customHeight="1">
      <c r="B108" s="80"/>
      <c r="C108" s="80" t="s">
        <v>10</v>
      </c>
      <c r="D108" s="66">
        <v>236</v>
      </c>
      <c r="E108" s="80">
        <f>E106+E107</f>
        <v>6.31</v>
      </c>
      <c r="F108" s="80">
        <f t="shared" ref="F108:I108" si="9">F106+F107</f>
        <v>2.86</v>
      </c>
      <c r="G108" s="80">
        <f t="shared" si="9"/>
        <v>24.14</v>
      </c>
      <c r="H108" s="80">
        <f t="shared" si="9"/>
        <v>146.94</v>
      </c>
      <c r="I108" s="80">
        <f t="shared" si="9"/>
        <v>7.0000000000000007E-2</v>
      </c>
    </row>
    <row r="109" spans="1:9" s="62" customFormat="1" ht="18" customHeight="1">
      <c r="B109" s="167" t="s">
        <v>193</v>
      </c>
      <c r="C109" s="168"/>
      <c r="D109" s="168"/>
      <c r="E109" s="168"/>
      <c r="F109" s="168"/>
      <c r="G109" s="168"/>
      <c r="H109" s="168"/>
      <c r="I109" s="168"/>
    </row>
    <row r="110" spans="1:9" ht="17.25" customHeight="1">
      <c r="A110" s="29">
        <v>3</v>
      </c>
      <c r="B110" s="53" t="s">
        <v>323</v>
      </c>
      <c r="C110" s="16" t="s">
        <v>108</v>
      </c>
      <c r="D110" s="66">
        <v>70</v>
      </c>
      <c r="E110" s="33">
        <v>11.04</v>
      </c>
      <c r="F110" s="65">
        <v>6.4</v>
      </c>
      <c r="G110" s="65">
        <v>2.88</v>
      </c>
      <c r="H110" s="65">
        <v>112.88</v>
      </c>
      <c r="I110" s="65">
        <v>0.12</v>
      </c>
    </row>
    <row r="111" spans="1:9" s="62" customFormat="1" ht="18" customHeight="1">
      <c r="B111" s="92" t="s">
        <v>324</v>
      </c>
      <c r="C111" s="61" t="s">
        <v>232</v>
      </c>
      <c r="D111" s="93">
        <v>130</v>
      </c>
      <c r="E111" s="65">
        <v>3.98</v>
      </c>
      <c r="F111" s="65">
        <v>6.94</v>
      </c>
      <c r="G111" s="65">
        <v>15.86</v>
      </c>
      <c r="H111" s="65">
        <v>142</v>
      </c>
      <c r="I111" s="65">
        <v>20</v>
      </c>
    </row>
    <row r="112" spans="1:9" s="62" customFormat="1" ht="18" customHeight="1">
      <c r="B112" s="105" t="s">
        <v>325</v>
      </c>
      <c r="C112" s="61" t="s">
        <v>109</v>
      </c>
      <c r="D112" s="106">
        <v>50</v>
      </c>
      <c r="E112" s="65">
        <v>0.5</v>
      </c>
      <c r="F112" s="65">
        <v>2.25</v>
      </c>
      <c r="G112" s="65">
        <v>7.25</v>
      </c>
      <c r="H112" s="65">
        <v>50</v>
      </c>
      <c r="I112" s="65">
        <v>0.86</v>
      </c>
    </row>
    <row r="113" spans="1:9" s="62" customFormat="1" ht="18" customHeight="1">
      <c r="A113" s="62">
        <v>3</v>
      </c>
      <c r="B113" s="66" t="s">
        <v>309</v>
      </c>
      <c r="C113" s="61" t="s">
        <v>65</v>
      </c>
      <c r="D113" s="79">
        <v>100</v>
      </c>
      <c r="E113" s="65">
        <v>0.4</v>
      </c>
      <c r="F113" s="65">
        <v>0.4</v>
      </c>
      <c r="G113" s="65">
        <v>9.8000000000000007</v>
      </c>
      <c r="H113" s="65">
        <v>44</v>
      </c>
      <c r="I113" s="65">
        <v>10</v>
      </c>
    </row>
    <row r="114" spans="1:9" s="62" customFormat="1" ht="18" customHeight="1">
      <c r="B114" s="66"/>
      <c r="C114" s="61" t="s">
        <v>12</v>
      </c>
      <c r="D114" s="106">
        <v>20</v>
      </c>
      <c r="E114" s="65">
        <v>1.3</v>
      </c>
      <c r="F114" s="65">
        <v>0.2</v>
      </c>
      <c r="G114" s="65">
        <v>6.7</v>
      </c>
      <c r="H114" s="65">
        <v>39</v>
      </c>
      <c r="I114" s="65">
        <v>0</v>
      </c>
    </row>
    <row r="115" spans="1:9" s="62" customFormat="1" ht="18" customHeight="1">
      <c r="B115" s="66"/>
      <c r="C115" s="61" t="s">
        <v>79</v>
      </c>
      <c r="D115" s="106">
        <v>20</v>
      </c>
      <c r="E115" s="65">
        <v>1.3</v>
      </c>
      <c r="F115" s="65">
        <v>0.1</v>
      </c>
      <c r="G115" s="65">
        <v>9.3000000000000007</v>
      </c>
      <c r="H115" s="65">
        <v>45</v>
      </c>
      <c r="I115" s="65">
        <v>0</v>
      </c>
    </row>
    <row r="116" spans="1:9" s="62" customFormat="1" ht="18" customHeight="1">
      <c r="B116" s="66" t="s">
        <v>302</v>
      </c>
      <c r="C116" s="61" t="s">
        <v>69</v>
      </c>
      <c r="D116" s="106">
        <v>200</v>
      </c>
      <c r="E116" s="65">
        <v>0.44</v>
      </c>
      <c r="F116" s="65">
        <v>0.02</v>
      </c>
      <c r="G116" s="65">
        <v>20.78</v>
      </c>
      <c r="H116" s="65">
        <v>85</v>
      </c>
      <c r="I116" s="65">
        <v>0.4</v>
      </c>
    </row>
    <row r="117" spans="1:9" ht="18" customHeight="1">
      <c r="A117" s="29">
        <v>3</v>
      </c>
      <c r="B117" s="30"/>
      <c r="C117" s="30" t="s">
        <v>10</v>
      </c>
      <c r="D117" s="31">
        <f t="shared" ref="D117:I117" si="10">SUM(D110:D116)</f>
        <v>590</v>
      </c>
      <c r="E117" s="80">
        <f t="shared" si="10"/>
        <v>18.96</v>
      </c>
      <c r="F117" s="105">
        <f t="shared" si="10"/>
        <v>16.310000000000002</v>
      </c>
      <c r="G117" s="105">
        <f t="shared" si="10"/>
        <v>72.570000000000007</v>
      </c>
      <c r="H117" s="105">
        <f t="shared" si="10"/>
        <v>517.88</v>
      </c>
      <c r="I117" s="105">
        <f t="shared" si="10"/>
        <v>31.38</v>
      </c>
    </row>
    <row r="118" spans="1:9" ht="18" customHeight="1">
      <c r="A118" s="29">
        <v>3</v>
      </c>
      <c r="B118" s="30"/>
      <c r="C118" s="30" t="s">
        <v>15</v>
      </c>
      <c r="D118" s="31">
        <f t="shared" ref="D118:I118" si="11">D92+D95+D104+D108+D117</f>
        <v>2182</v>
      </c>
      <c r="E118" s="30">
        <f t="shared" si="11"/>
        <v>60.800000000000004</v>
      </c>
      <c r="F118" s="96">
        <f t="shared" si="11"/>
        <v>59.49</v>
      </c>
      <c r="G118" s="96">
        <f t="shared" si="11"/>
        <v>249.8</v>
      </c>
      <c r="H118" s="96">
        <f t="shared" si="11"/>
        <v>1790.67</v>
      </c>
      <c r="I118" s="96">
        <f t="shared" si="11"/>
        <v>77.03</v>
      </c>
    </row>
    <row r="119" spans="1:9" s="62" customFormat="1" ht="20.100000000000001" customHeight="1">
      <c r="B119" s="120"/>
      <c r="C119" s="120" t="s">
        <v>136</v>
      </c>
      <c r="D119" s="121"/>
      <c r="E119" s="120">
        <v>54</v>
      </c>
      <c r="F119" s="120">
        <v>60</v>
      </c>
      <c r="G119" s="120">
        <v>261</v>
      </c>
      <c r="H119" s="120">
        <v>1800</v>
      </c>
      <c r="I119" s="120">
        <v>50</v>
      </c>
    </row>
    <row r="120" spans="1:9" s="62" customFormat="1" ht="20.100000000000001" customHeight="1">
      <c r="B120" s="122"/>
      <c r="C120" s="122" t="s">
        <v>137</v>
      </c>
      <c r="D120" s="123"/>
      <c r="E120" s="122">
        <f>ROUND(E118/E119*100-100,2)</f>
        <v>12.59</v>
      </c>
      <c r="F120" s="122">
        <f t="shared" ref="F120:I120" si="12">ROUND(F118/F119*100-100,2)</f>
        <v>-0.85</v>
      </c>
      <c r="G120" s="122">
        <f t="shared" si="12"/>
        <v>-4.29</v>
      </c>
      <c r="H120" s="122">
        <f t="shared" si="12"/>
        <v>-0.52</v>
      </c>
      <c r="I120" s="122">
        <f t="shared" si="12"/>
        <v>54.06</v>
      </c>
    </row>
    <row r="121" spans="1:9" s="24" customFormat="1" ht="20.100000000000001" customHeight="1">
      <c r="B121" s="25" t="s">
        <v>155</v>
      </c>
      <c r="C121" s="26"/>
      <c r="D121" s="35"/>
      <c r="E121" s="36"/>
      <c r="F121" s="36"/>
      <c r="G121" s="36"/>
      <c r="H121" s="36"/>
      <c r="I121" s="36"/>
    </row>
    <row r="122" spans="1:9" s="24" customFormat="1" ht="20.100000000000001" customHeight="1">
      <c r="B122" s="25" t="s">
        <v>51</v>
      </c>
      <c r="C122" s="26"/>
      <c r="D122" s="35"/>
      <c r="E122" s="36"/>
      <c r="F122" s="36"/>
      <c r="G122" s="36"/>
      <c r="H122" s="36"/>
      <c r="I122" s="36"/>
    </row>
    <row r="123" spans="1:9" s="24" customFormat="1" ht="20.100000000000001" customHeight="1">
      <c r="B123" s="25" t="s">
        <v>144</v>
      </c>
      <c r="C123" s="26"/>
      <c r="D123" s="35"/>
      <c r="E123" s="36"/>
      <c r="F123" s="36"/>
      <c r="G123" s="36"/>
      <c r="H123" s="36"/>
      <c r="I123" s="36"/>
    </row>
    <row r="124" spans="1:9" s="24" customFormat="1">
      <c r="B124" s="25" t="s">
        <v>53</v>
      </c>
      <c r="C124" s="26"/>
      <c r="D124" s="27"/>
      <c r="E124" s="28"/>
      <c r="F124" s="28"/>
      <c r="G124" s="28"/>
      <c r="H124" s="28"/>
      <c r="I124" s="28"/>
    </row>
    <row r="125" spans="1:9" s="24" customFormat="1" ht="20.100000000000001" customHeight="1">
      <c r="B125" s="34"/>
      <c r="C125" s="34"/>
      <c r="D125" s="35"/>
      <c r="E125" s="36"/>
      <c r="F125" s="36"/>
      <c r="G125" s="36"/>
      <c r="H125" s="36"/>
      <c r="I125" s="36"/>
    </row>
    <row r="126" spans="1:9" s="24" customFormat="1" ht="32.25" customHeight="1">
      <c r="B126" s="169" t="s">
        <v>0</v>
      </c>
      <c r="C126" s="169" t="s">
        <v>1</v>
      </c>
      <c r="D126" s="170" t="s">
        <v>2</v>
      </c>
      <c r="E126" s="171" t="s">
        <v>3</v>
      </c>
      <c r="F126" s="171"/>
      <c r="G126" s="171"/>
      <c r="H126" s="171" t="s">
        <v>4</v>
      </c>
      <c r="I126" s="99"/>
    </row>
    <row r="127" spans="1:9" s="24" customFormat="1" ht="33" customHeight="1">
      <c r="B127" s="169"/>
      <c r="C127" s="169"/>
      <c r="D127" s="170"/>
      <c r="E127" s="30" t="s">
        <v>5</v>
      </c>
      <c r="F127" s="30" t="s">
        <v>6</v>
      </c>
      <c r="G127" s="30" t="s">
        <v>7</v>
      </c>
      <c r="H127" s="171"/>
      <c r="I127" s="30" t="s">
        <v>8</v>
      </c>
    </row>
    <row r="128" spans="1:9" ht="22.5" customHeight="1">
      <c r="A128" s="29">
        <v>4</v>
      </c>
      <c r="B128" s="171" t="s">
        <v>238</v>
      </c>
      <c r="C128" s="171"/>
      <c r="D128" s="171"/>
      <c r="E128" s="171"/>
      <c r="F128" s="171"/>
      <c r="G128" s="171"/>
      <c r="H128" s="171"/>
      <c r="I128" s="171"/>
    </row>
    <row r="129" spans="1:9" ht="21.75" customHeight="1">
      <c r="A129" s="29">
        <v>4</v>
      </c>
      <c r="B129" s="30" t="s">
        <v>111</v>
      </c>
      <c r="C129" s="16" t="s">
        <v>110</v>
      </c>
      <c r="D129" s="66" t="s">
        <v>77</v>
      </c>
      <c r="E129" s="33">
        <v>9.0500000000000007</v>
      </c>
      <c r="F129" s="65">
        <v>9.36</v>
      </c>
      <c r="G129" s="65">
        <v>35.11</v>
      </c>
      <c r="H129" s="65">
        <v>262</v>
      </c>
      <c r="I129" s="65">
        <v>1.64</v>
      </c>
    </row>
    <row r="130" spans="1:9" ht="18" customHeight="1">
      <c r="A130" s="29">
        <v>4</v>
      </c>
      <c r="B130" s="66" t="s">
        <v>215</v>
      </c>
      <c r="C130" s="16" t="s">
        <v>62</v>
      </c>
      <c r="D130" s="140" t="s">
        <v>216</v>
      </c>
      <c r="E130" s="65">
        <v>4.8</v>
      </c>
      <c r="F130" s="65">
        <v>4.5999999999999996</v>
      </c>
      <c r="G130" s="65">
        <v>9.3000000000000007</v>
      </c>
      <c r="H130" s="65">
        <v>101</v>
      </c>
      <c r="I130" s="65">
        <v>0.06</v>
      </c>
    </row>
    <row r="131" spans="1:9" s="62" customFormat="1" ht="18" customHeight="1">
      <c r="B131" s="66"/>
      <c r="C131" s="61" t="s">
        <v>70</v>
      </c>
      <c r="D131" s="131">
        <v>10</v>
      </c>
      <c r="E131" s="65">
        <v>0.7</v>
      </c>
      <c r="F131" s="65">
        <v>7.0000000000000007E-2</v>
      </c>
      <c r="G131" s="65">
        <v>4.7</v>
      </c>
      <c r="H131" s="65">
        <v>22.7</v>
      </c>
      <c r="I131" s="65">
        <v>0</v>
      </c>
    </row>
    <row r="132" spans="1:9" ht="18" customHeight="1">
      <c r="A132" s="29">
        <v>4</v>
      </c>
      <c r="B132" s="30" t="s">
        <v>296</v>
      </c>
      <c r="C132" s="16" t="s">
        <v>80</v>
      </c>
      <c r="D132" s="31">
        <v>180</v>
      </c>
      <c r="E132" s="65">
        <v>2.85</v>
      </c>
      <c r="F132" s="65">
        <v>2.41</v>
      </c>
      <c r="G132" s="65">
        <v>11.37</v>
      </c>
      <c r="H132" s="65">
        <v>79.06</v>
      </c>
      <c r="I132" s="65">
        <v>1.17</v>
      </c>
    </row>
    <row r="133" spans="1:9" s="62" customFormat="1" ht="18" customHeight="1">
      <c r="A133" s="62">
        <v>4</v>
      </c>
      <c r="B133" s="63"/>
      <c r="C133" s="63" t="s">
        <v>10</v>
      </c>
      <c r="D133" s="64">
        <v>430</v>
      </c>
      <c r="E133" s="63">
        <f>SUM(E129:E132)</f>
        <v>17.400000000000002</v>
      </c>
      <c r="F133" s="105">
        <f>SUM(F129:F132)</f>
        <v>16.439999999999998</v>
      </c>
      <c r="G133" s="105">
        <f>SUM(G129:G132)</f>
        <v>60.48</v>
      </c>
      <c r="H133" s="105">
        <f>SUM(H129:H132)</f>
        <v>464.76</v>
      </c>
      <c r="I133" s="105">
        <f>SUM(I129:I132)</f>
        <v>2.87</v>
      </c>
    </row>
    <row r="134" spans="1:9" s="62" customFormat="1" ht="18" customHeight="1">
      <c r="B134" s="167" t="s">
        <v>158</v>
      </c>
      <c r="C134" s="168"/>
      <c r="D134" s="168"/>
      <c r="E134" s="168"/>
      <c r="F134" s="168"/>
      <c r="G134" s="168"/>
      <c r="H134" s="168"/>
      <c r="I134" s="168"/>
    </row>
    <row r="135" spans="1:9" ht="18" customHeight="1">
      <c r="B135" s="53" t="s">
        <v>309</v>
      </c>
      <c r="C135" s="16" t="s">
        <v>65</v>
      </c>
      <c r="D135" s="31">
        <v>100</v>
      </c>
      <c r="E135" s="65">
        <v>0.4</v>
      </c>
      <c r="F135" s="65">
        <v>0.4</v>
      </c>
      <c r="G135" s="65">
        <v>9.8000000000000007</v>
      </c>
      <c r="H135" s="65">
        <v>44</v>
      </c>
      <c r="I135" s="65">
        <v>10</v>
      </c>
    </row>
    <row r="136" spans="1:9" ht="18" customHeight="1">
      <c r="B136" s="30"/>
      <c r="C136" s="63" t="s">
        <v>10</v>
      </c>
      <c r="D136" s="31">
        <f>D135</f>
        <v>100</v>
      </c>
      <c r="E136" s="30">
        <f>E135</f>
        <v>0.4</v>
      </c>
      <c r="F136" s="105">
        <f t="shared" ref="F136:I136" si="13">F135</f>
        <v>0.4</v>
      </c>
      <c r="G136" s="105">
        <f t="shared" si="13"/>
        <v>9.8000000000000007</v>
      </c>
      <c r="H136" s="105">
        <f t="shared" si="13"/>
        <v>44</v>
      </c>
      <c r="I136" s="105">
        <f t="shared" si="13"/>
        <v>10</v>
      </c>
    </row>
    <row r="137" spans="1:9" ht="18" customHeight="1">
      <c r="A137" s="29">
        <v>4</v>
      </c>
      <c r="B137" s="171" t="s">
        <v>367</v>
      </c>
      <c r="C137" s="171"/>
      <c r="D137" s="171"/>
      <c r="E137" s="171"/>
      <c r="F137" s="171"/>
      <c r="G137" s="171"/>
      <c r="H137" s="171"/>
      <c r="I137" s="171"/>
    </row>
    <row r="138" spans="1:9" s="62" customFormat="1" ht="18" customHeight="1">
      <c r="B138" s="145" t="s">
        <v>233</v>
      </c>
      <c r="C138" s="61" t="s">
        <v>99</v>
      </c>
      <c r="D138" s="66">
        <v>50</v>
      </c>
      <c r="E138" s="65">
        <v>0.9</v>
      </c>
      <c r="F138" s="65">
        <v>4.4000000000000004</v>
      </c>
      <c r="G138" s="65">
        <v>3.8</v>
      </c>
      <c r="H138" s="65">
        <v>60</v>
      </c>
      <c r="I138" s="65">
        <v>3.4</v>
      </c>
    </row>
    <row r="139" spans="1:9" s="62" customFormat="1" ht="23.25" customHeight="1">
      <c r="B139" s="96" t="s">
        <v>365</v>
      </c>
      <c r="C139" s="61" t="s">
        <v>112</v>
      </c>
      <c r="D139" s="66" t="s">
        <v>366</v>
      </c>
      <c r="E139" s="65">
        <v>3.09</v>
      </c>
      <c r="F139" s="65">
        <v>2.52</v>
      </c>
      <c r="G139" s="65">
        <v>18.27</v>
      </c>
      <c r="H139" s="65">
        <v>110.2</v>
      </c>
      <c r="I139" s="65">
        <v>9.6</v>
      </c>
    </row>
    <row r="140" spans="1:9" s="62" customFormat="1" ht="18" customHeight="1">
      <c r="B140" s="127" t="s">
        <v>326</v>
      </c>
      <c r="C140" s="61" t="s">
        <v>156</v>
      </c>
      <c r="D140" s="66" t="s">
        <v>68</v>
      </c>
      <c r="E140" s="65">
        <v>20.3</v>
      </c>
      <c r="F140" s="65">
        <v>17</v>
      </c>
      <c r="G140" s="65">
        <v>35.69</v>
      </c>
      <c r="H140" s="65">
        <v>377</v>
      </c>
      <c r="I140" s="65">
        <v>1.01</v>
      </c>
    </row>
    <row r="141" spans="1:9" ht="21" customHeight="1">
      <c r="B141" s="127" t="s">
        <v>302</v>
      </c>
      <c r="C141" s="61" t="s">
        <v>69</v>
      </c>
      <c r="D141" s="64">
        <v>200</v>
      </c>
      <c r="E141" s="65">
        <v>0.44</v>
      </c>
      <c r="F141" s="65">
        <v>0.02</v>
      </c>
      <c r="G141" s="65">
        <v>20.78</v>
      </c>
      <c r="H141" s="65">
        <v>85</v>
      </c>
      <c r="I141" s="65">
        <v>0.4</v>
      </c>
    </row>
    <row r="142" spans="1:9" ht="18" customHeight="1">
      <c r="B142" s="96"/>
      <c r="C142" s="61" t="s">
        <v>12</v>
      </c>
      <c r="D142" s="66">
        <v>50</v>
      </c>
      <c r="E142" s="65">
        <v>3.3</v>
      </c>
      <c r="F142" s="65">
        <v>0.6</v>
      </c>
      <c r="G142" s="65">
        <v>16.7</v>
      </c>
      <c r="H142" s="65">
        <v>97</v>
      </c>
      <c r="I142" s="65">
        <v>0</v>
      </c>
    </row>
    <row r="143" spans="1:9" ht="19.5" customHeight="1">
      <c r="A143" s="29">
        <v>4</v>
      </c>
      <c r="B143" s="96"/>
      <c r="C143" s="61" t="s">
        <v>70</v>
      </c>
      <c r="D143" s="64">
        <v>20</v>
      </c>
      <c r="E143" s="65">
        <v>1.3</v>
      </c>
      <c r="F143" s="65">
        <v>0.1</v>
      </c>
      <c r="G143" s="65">
        <v>9.3000000000000007</v>
      </c>
      <c r="H143" s="65">
        <v>45</v>
      </c>
      <c r="I143" s="65">
        <v>0</v>
      </c>
    </row>
    <row r="144" spans="1:9" ht="18" customHeight="1">
      <c r="A144" s="29">
        <v>4</v>
      </c>
      <c r="B144" s="30"/>
      <c r="C144" s="111" t="s">
        <v>10</v>
      </c>
      <c r="D144" s="31">
        <v>738</v>
      </c>
      <c r="E144" s="80">
        <f>SUM(E138:E143)</f>
        <v>29.330000000000002</v>
      </c>
      <c r="F144" s="105">
        <f>SUM(F138:F143)</f>
        <v>24.640000000000004</v>
      </c>
      <c r="G144" s="105">
        <f>SUM(G138:G143)</f>
        <v>104.53999999999999</v>
      </c>
      <c r="H144" s="105">
        <f>SUM(H138:H143)</f>
        <v>774.2</v>
      </c>
      <c r="I144" s="105">
        <f>SUM(I138:I143)</f>
        <v>14.41</v>
      </c>
    </row>
    <row r="145" spans="1:9" ht="18" customHeight="1">
      <c r="A145" s="29">
        <v>4</v>
      </c>
      <c r="B145" s="171" t="s">
        <v>159</v>
      </c>
      <c r="C145" s="171"/>
      <c r="D145" s="171"/>
      <c r="E145" s="171"/>
      <c r="F145" s="171"/>
      <c r="G145" s="171"/>
      <c r="H145" s="171"/>
      <c r="I145" s="171"/>
    </row>
    <row r="146" spans="1:9" s="62" customFormat="1" ht="21.75" customHeight="1">
      <c r="B146" s="80"/>
      <c r="C146" s="61" t="s">
        <v>98</v>
      </c>
      <c r="D146" s="66">
        <v>50</v>
      </c>
      <c r="E146" s="65">
        <v>3.7</v>
      </c>
      <c r="F146" s="65">
        <v>4.75</v>
      </c>
      <c r="G146" s="65">
        <v>36.5</v>
      </c>
      <c r="H146" s="65">
        <v>203.5</v>
      </c>
      <c r="I146" s="65">
        <v>0</v>
      </c>
    </row>
    <row r="147" spans="1:9" s="62" customFormat="1" ht="18" customHeight="1">
      <c r="B147" s="80" t="s">
        <v>305</v>
      </c>
      <c r="C147" s="61" t="s">
        <v>73</v>
      </c>
      <c r="D147" s="66">
        <v>200</v>
      </c>
      <c r="E147" s="65">
        <v>6.09</v>
      </c>
      <c r="F147" s="65">
        <v>5.42</v>
      </c>
      <c r="G147" s="65">
        <v>10.08</v>
      </c>
      <c r="H147" s="65">
        <v>113.3</v>
      </c>
      <c r="I147" s="65">
        <v>2.73</v>
      </c>
    </row>
    <row r="148" spans="1:9" s="62" customFormat="1" ht="18" customHeight="1">
      <c r="B148" s="80"/>
      <c r="C148" s="111" t="s">
        <v>10</v>
      </c>
      <c r="D148" s="66">
        <v>250</v>
      </c>
      <c r="E148" s="80">
        <f>E146+E147</f>
        <v>9.7899999999999991</v>
      </c>
      <c r="F148" s="80">
        <f t="shared" ref="F148:I148" si="14">F146+F147</f>
        <v>10.17</v>
      </c>
      <c r="G148" s="80">
        <f t="shared" si="14"/>
        <v>46.58</v>
      </c>
      <c r="H148" s="80">
        <f t="shared" si="14"/>
        <v>316.8</v>
      </c>
      <c r="I148" s="80">
        <f t="shared" si="14"/>
        <v>2.73</v>
      </c>
    </row>
    <row r="149" spans="1:9" s="62" customFormat="1" ht="18" customHeight="1">
      <c r="B149" s="167" t="s">
        <v>368</v>
      </c>
      <c r="C149" s="168"/>
      <c r="D149" s="168"/>
      <c r="E149" s="168"/>
      <c r="F149" s="168"/>
      <c r="G149" s="168"/>
      <c r="H149" s="168"/>
      <c r="I149" s="168"/>
    </row>
    <row r="150" spans="1:9" s="62" customFormat="1" ht="18" customHeight="1">
      <c r="B150" s="139" t="s">
        <v>217</v>
      </c>
      <c r="C150" s="61" t="s">
        <v>114</v>
      </c>
      <c r="D150" s="66" t="s">
        <v>218</v>
      </c>
      <c r="E150" s="65">
        <v>23.6</v>
      </c>
      <c r="F150" s="65">
        <v>13.1</v>
      </c>
      <c r="G150" s="65">
        <v>24.9</v>
      </c>
      <c r="H150" s="65">
        <v>316</v>
      </c>
      <c r="I150" s="65">
        <v>0.2</v>
      </c>
    </row>
    <row r="151" spans="1:9" s="62" customFormat="1" ht="18" customHeight="1">
      <c r="B151" s="148" t="s">
        <v>327</v>
      </c>
      <c r="C151" s="61" t="s">
        <v>219</v>
      </c>
      <c r="D151" s="66">
        <v>40</v>
      </c>
      <c r="E151" s="65">
        <v>0.5</v>
      </c>
      <c r="F151" s="65">
        <v>2</v>
      </c>
      <c r="G151" s="65">
        <v>2.4</v>
      </c>
      <c r="H151" s="65">
        <v>30</v>
      </c>
      <c r="I151" s="65">
        <v>0.01</v>
      </c>
    </row>
    <row r="152" spans="1:9" s="62" customFormat="1" ht="18" customHeight="1">
      <c r="B152" s="127" t="s">
        <v>309</v>
      </c>
      <c r="C152" s="61" t="s">
        <v>157</v>
      </c>
      <c r="D152" s="66">
        <v>100</v>
      </c>
      <c r="E152" s="65">
        <v>0.4</v>
      </c>
      <c r="F152" s="65">
        <v>0.3</v>
      </c>
      <c r="G152" s="65">
        <v>10.3</v>
      </c>
      <c r="H152" s="65">
        <v>46</v>
      </c>
      <c r="I152" s="65">
        <v>5</v>
      </c>
    </row>
    <row r="153" spans="1:9" ht="18" customHeight="1">
      <c r="A153" s="29">
        <v>4</v>
      </c>
      <c r="B153" s="63"/>
      <c r="C153" s="61" t="s">
        <v>70</v>
      </c>
      <c r="D153" s="66">
        <v>30</v>
      </c>
      <c r="E153" s="65">
        <v>2</v>
      </c>
      <c r="F153" s="65">
        <v>0.2</v>
      </c>
      <c r="G153" s="65">
        <v>14</v>
      </c>
      <c r="H153" s="65">
        <v>67</v>
      </c>
      <c r="I153" s="65">
        <v>0</v>
      </c>
    </row>
    <row r="154" spans="1:9" s="62" customFormat="1" ht="18" customHeight="1">
      <c r="B154" s="137" t="s">
        <v>308</v>
      </c>
      <c r="C154" s="61" t="s">
        <v>104</v>
      </c>
      <c r="D154" s="66">
        <v>180</v>
      </c>
      <c r="E154" s="65">
        <v>2.67</v>
      </c>
      <c r="F154" s="65">
        <v>2.34</v>
      </c>
      <c r="G154" s="65">
        <v>10.31</v>
      </c>
      <c r="H154" s="65">
        <v>73</v>
      </c>
      <c r="I154" s="65">
        <v>1.2</v>
      </c>
    </row>
    <row r="155" spans="1:9" ht="18" customHeight="1">
      <c r="A155" s="29">
        <v>4</v>
      </c>
      <c r="B155" s="30"/>
      <c r="C155" s="30" t="s">
        <v>10</v>
      </c>
      <c r="D155" s="72">
        <v>504</v>
      </c>
      <c r="E155" s="30">
        <f>SUM(E150:E154)</f>
        <v>29.17</v>
      </c>
      <c r="F155" s="125">
        <f>SUM(F150:F154)</f>
        <v>17.939999999999998</v>
      </c>
      <c r="G155" s="125">
        <f>SUM(G150:G154)</f>
        <v>61.91</v>
      </c>
      <c r="H155" s="125">
        <f>SUM(H150:H154)</f>
        <v>532</v>
      </c>
      <c r="I155" s="125">
        <f>SUM(I150:I154)</f>
        <v>6.41</v>
      </c>
    </row>
    <row r="156" spans="1:9" ht="18" customHeight="1">
      <c r="A156" s="29">
        <v>4</v>
      </c>
      <c r="B156" s="30"/>
      <c r="C156" s="30" t="s">
        <v>16</v>
      </c>
      <c r="D156" s="81">
        <f>D133+D136+D144+D148+D155</f>
        <v>2022</v>
      </c>
      <c r="E156" s="30">
        <f t="shared" ref="E156:I156" si="15">E133+E136+E144+E148+E155</f>
        <v>86.09</v>
      </c>
      <c r="F156" s="125">
        <f t="shared" si="15"/>
        <v>69.59</v>
      </c>
      <c r="G156" s="125">
        <f t="shared" si="15"/>
        <v>283.30999999999995</v>
      </c>
      <c r="H156" s="125">
        <f t="shared" si="15"/>
        <v>2131.7600000000002</v>
      </c>
      <c r="I156" s="125">
        <f t="shared" si="15"/>
        <v>36.42</v>
      </c>
    </row>
    <row r="157" spans="1:9" s="62" customFormat="1" ht="20.100000000000001" customHeight="1">
      <c r="B157" s="120"/>
      <c r="C157" s="120" t="s">
        <v>136</v>
      </c>
      <c r="D157" s="121"/>
      <c r="E157" s="120">
        <v>54</v>
      </c>
      <c r="F157" s="120">
        <v>60</v>
      </c>
      <c r="G157" s="120">
        <v>261</v>
      </c>
      <c r="H157" s="120">
        <v>1800</v>
      </c>
      <c r="I157" s="120">
        <v>50</v>
      </c>
    </row>
    <row r="158" spans="1:9" s="62" customFormat="1" ht="20.100000000000001" customHeight="1">
      <c r="B158" s="122"/>
      <c r="C158" s="122" t="s">
        <v>137</v>
      </c>
      <c r="D158" s="123"/>
      <c r="E158" s="122">
        <f>ROUND(E156/E157*100-100,2)</f>
        <v>59.43</v>
      </c>
      <c r="F158" s="122">
        <f t="shared" ref="F158:I158" si="16">ROUND(F156/F157*100-100,2)</f>
        <v>15.98</v>
      </c>
      <c r="G158" s="122">
        <f t="shared" si="16"/>
        <v>8.5500000000000007</v>
      </c>
      <c r="H158" s="122">
        <f t="shared" si="16"/>
        <v>18.43</v>
      </c>
      <c r="I158" s="122">
        <f t="shared" si="16"/>
        <v>-27.16</v>
      </c>
    </row>
    <row r="159" spans="1:9" s="24" customFormat="1" ht="20.100000000000001" customHeight="1">
      <c r="B159" s="25" t="s">
        <v>160</v>
      </c>
      <c r="C159" s="26"/>
      <c r="D159" s="35"/>
      <c r="E159" s="36"/>
      <c r="F159" s="36"/>
      <c r="G159" s="36"/>
      <c r="H159" s="36"/>
      <c r="I159" s="36"/>
    </row>
    <row r="160" spans="1:9" s="24" customFormat="1" ht="20.100000000000001" customHeight="1">
      <c r="B160" s="25" t="s">
        <v>51</v>
      </c>
      <c r="C160" s="26"/>
      <c r="D160" s="35"/>
      <c r="E160" s="36"/>
      <c r="F160" s="36"/>
      <c r="G160" s="36"/>
      <c r="H160" s="36"/>
      <c r="I160" s="36"/>
    </row>
    <row r="161" spans="1:9" s="24" customFormat="1" ht="20.100000000000001" customHeight="1">
      <c r="B161" s="25" t="s">
        <v>144</v>
      </c>
      <c r="C161" s="26"/>
      <c r="D161" s="35"/>
      <c r="E161" s="36"/>
      <c r="F161" s="36"/>
      <c r="G161" s="36"/>
      <c r="H161" s="36"/>
      <c r="I161" s="36"/>
    </row>
    <row r="162" spans="1:9" s="24" customFormat="1">
      <c r="B162" s="25" t="s">
        <v>53</v>
      </c>
      <c r="C162" s="26"/>
      <c r="D162" s="27"/>
      <c r="E162" s="28"/>
      <c r="F162" s="28"/>
      <c r="G162" s="28"/>
      <c r="H162" s="28"/>
      <c r="I162" s="28"/>
    </row>
    <row r="163" spans="1:9" s="24" customFormat="1" ht="20.100000000000001" hidden="1" customHeight="1">
      <c r="B163" s="34"/>
      <c r="C163" s="34"/>
      <c r="D163" s="35"/>
      <c r="E163" s="36"/>
      <c r="F163" s="36"/>
      <c r="G163" s="36"/>
      <c r="H163" s="36"/>
      <c r="I163" s="36"/>
    </row>
    <row r="164" spans="1:9" s="24" customFormat="1" ht="39.75" customHeight="1">
      <c r="B164" s="169" t="s">
        <v>0</v>
      </c>
      <c r="C164" s="169" t="s">
        <v>1</v>
      </c>
      <c r="D164" s="170" t="s">
        <v>2</v>
      </c>
      <c r="E164" s="171" t="s">
        <v>3</v>
      </c>
      <c r="F164" s="171"/>
      <c r="G164" s="171"/>
      <c r="H164" s="171" t="s">
        <v>4</v>
      </c>
      <c r="I164" s="99"/>
    </row>
    <row r="165" spans="1:9" s="24" customFormat="1" ht="39.75" customHeight="1">
      <c r="B165" s="169"/>
      <c r="C165" s="169"/>
      <c r="D165" s="170"/>
      <c r="E165" s="30" t="s">
        <v>5</v>
      </c>
      <c r="F165" s="30" t="s">
        <v>6</v>
      </c>
      <c r="G165" s="30" t="s">
        <v>7</v>
      </c>
      <c r="H165" s="171"/>
      <c r="I165" s="30" t="s">
        <v>8</v>
      </c>
    </row>
    <row r="166" spans="1:9" ht="18" customHeight="1">
      <c r="A166" s="29">
        <v>5</v>
      </c>
      <c r="B166" s="171" t="s">
        <v>164</v>
      </c>
      <c r="C166" s="171"/>
      <c r="D166" s="171"/>
      <c r="E166" s="171"/>
      <c r="F166" s="171"/>
      <c r="G166" s="171"/>
      <c r="H166" s="171"/>
      <c r="I166" s="171"/>
    </row>
    <row r="167" spans="1:9" ht="27" customHeight="1">
      <c r="A167" s="29">
        <v>5</v>
      </c>
      <c r="B167" s="139" t="s">
        <v>102</v>
      </c>
      <c r="C167" s="61" t="s">
        <v>220</v>
      </c>
      <c r="D167" s="31" t="s">
        <v>77</v>
      </c>
      <c r="E167" s="33">
        <v>7.78</v>
      </c>
      <c r="F167" s="33">
        <v>9.1999999999999993</v>
      </c>
      <c r="G167" s="33">
        <v>34.270000000000003</v>
      </c>
      <c r="H167" s="33">
        <v>252</v>
      </c>
      <c r="I167" s="33">
        <v>1.17</v>
      </c>
    </row>
    <row r="168" spans="1:9" ht="18" customHeight="1">
      <c r="A168" s="29">
        <v>5</v>
      </c>
      <c r="B168" s="63" t="s">
        <v>328</v>
      </c>
      <c r="C168" s="61" t="s">
        <v>116</v>
      </c>
      <c r="D168" s="31">
        <v>80</v>
      </c>
      <c r="E168" s="33">
        <v>16.8</v>
      </c>
      <c r="F168" s="33">
        <v>7.94</v>
      </c>
      <c r="G168" s="33">
        <v>2.93</v>
      </c>
      <c r="H168" s="33">
        <v>108</v>
      </c>
      <c r="I168" s="33">
        <v>1.03</v>
      </c>
    </row>
    <row r="169" spans="1:9" s="62" customFormat="1" ht="18" customHeight="1">
      <c r="B169" s="109"/>
      <c r="C169" s="61" t="s">
        <v>79</v>
      </c>
      <c r="D169" s="110">
        <v>30</v>
      </c>
      <c r="E169" s="65">
        <v>2</v>
      </c>
      <c r="F169" s="65">
        <v>0.2</v>
      </c>
      <c r="G169" s="65">
        <v>14</v>
      </c>
      <c r="H169" s="65">
        <v>67</v>
      </c>
      <c r="I169" s="65">
        <v>0</v>
      </c>
    </row>
    <row r="170" spans="1:9" ht="18" customHeight="1">
      <c r="A170" s="29">
        <v>5</v>
      </c>
      <c r="B170" s="127" t="s">
        <v>315</v>
      </c>
      <c r="C170" s="61" t="s">
        <v>161</v>
      </c>
      <c r="D170" s="128" t="s">
        <v>101</v>
      </c>
      <c r="E170" s="33">
        <v>0.01</v>
      </c>
      <c r="F170" s="33">
        <v>0.01</v>
      </c>
      <c r="G170" s="33">
        <v>5.99</v>
      </c>
      <c r="H170" s="33">
        <v>23.94</v>
      </c>
      <c r="I170" s="33">
        <v>0.02</v>
      </c>
    </row>
    <row r="171" spans="1:9" s="62" customFormat="1" ht="18" customHeight="1">
      <c r="B171" s="63"/>
      <c r="C171" s="63" t="s">
        <v>10</v>
      </c>
      <c r="D171" s="64">
        <v>501</v>
      </c>
      <c r="E171" s="63">
        <f>SUM(E167:E170)</f>
        <v>26.590000000000003</v>
      </c>
      <c r="F171" s="124">
        <f>SUM(F167:F170)</f>
        <v>17.350000000000001</v>
      </c>
      <c r="G171" s="124">
        <f>SUM(G167:G170)</f>
        <v>57.190000000000005</v>
      </c>
      <c r="H171" s="124">
        <f>SUM(H167:H170)</f>
        <v>450.94</v>
      </c>
      <c r="I171" s="124">
        <f>SUM(I167:I170)</f>
        <v>2.2200000000000002</v>
      </c>
    </row>
    <row r="172" spans="1:9" s="62" customFormat="1" ht="18" customHeight="1">
      <c r="B172" s="171" t="s">
        <v>288</v>
      </c>
      <c r="C172" s="171"/>
      <c r="D172" s="171"/>
      <c r="E172" s="171"/>
      <c r="F172" s="171"/>
      <c r="G172" s="171"/>
      <c r="H172" s="171"/>
      <c r="I172" s="171"/>
    </row>
    <row r="173" spans="1:9" s="62" customFormat="1" ht="18" customHeight="1">
      <c r="B173" s="63" t="s">
        <v>297</v>
      </c>
      <c r="C173" s="61" t="s">
        <v>81</v>
      </c>
      <c r="D173" s="64">
        <v>150</v>
      </c>
      <c r="E173" s="65">
        <v>0.75</v>
      </c>
      <c r="F173" s="65">
        <v>0</v>
      </c>
      <c r="G173" s="65">
        <v>15.15</v>
      </c>
      <c r="H173" s="65">
        <v>64</v>
      </c>
      <c r="I173" s="65">
        <v>3</v>
      </c>
    </row>
    <row r="174" spans="1:9" ht="18" customHeight="1">
      <c r="B174" s="30"/>
      <c r="C174" s="63" t="s">
        <v>10</v>
      </c>
      <c r="D174" s="31">
        <f>D173</f>
        <v>150</v>
      </c>
      <c r="E174" s="63">
        <f>E173</f>
        <v>0.75</v>
      </c>
      <c r="F174" s="109">
        <f t="shared" ref="F174:I174" si="17">F173</f>
        <v>0</v>
      </c>
      <c r="G174" s="109">
        <f t="shared" si="17"/>
        <v>15.15</v>
      </c>
      <c r="H174" s="109">
        <f t="shared" si="17"/>
        <v>64</v>
      </c>
      <c r="I174" s="109">
        <f t="shared" si="17"/>
        <v>3</v>
      </c>
    </row>
    <row r="175" spans="1:9" ht="18" customHeight="1">
      <c r="A175" s="29">
        <v>5</v>
      </c>
      <c r="B175" s="171" t="s">
        <v>204</v>
      </c>
      <c r="C175" s="171"/>
      <c r="D175" s="171"/>
      <c r="E175" s="171"/>
      <c r="F175" s="171"/>
      <c r="G175" s="171"/>
      <c r="H175" s="171"/>
      <c r="I175" s="171"/>
    </row>
    <row r="176" spans="1:9" ht="18" customHeight="1">
      <c r="A176" s="29">
        <v>5</v>
      </c>
      <c r="B176" s="53" t="s">
        <v>318</v>
      </c>
      <c r="C176" s="61" t="s">
        <v>162</v>
      </c>
      <c r="D176" s="31">
        <v>50</v>
      </c>
      <c r="E176" s="33">
        <v>1.1000000000000001</v>
      </c>
      <c r="F176" s="65">
        <v>2.2999999999999998</v>
      </c>
      <c r="G176" s="65">
        <v>5.44</v>
      </c>
      <c r="H176" s="65">
        <v>46.85</v>
      </c>
      <c r="I176" s="65">
        <v>2.56</v>
      </c>
    </row>
    <row r="177" spans="1:9" ht="18" customHeight="1">
      <c r="B177" s="66" t="s">
        <v>237</v>
      </c>
      <c r="C177" s="61" t="s">
        <v>163</v>
      </c>
      <c r="D177" s="52">
        <v>200</v>
      </c>
      <c r="E177" s="65">
        <v>1.8</v>
      </c>
      <c r="F177" s="65">
        <v>4.28</v>
      </c>
      <c r="G177" s="65">
        <v>10.7</v>
      </c>
      <c r="H177" s="65">
        <v>88.3</v>
      </c>
      <c r="I177" s="65">
        <v>5.84</v>
      </c>
    </row>
    <row r="178" spans="1:9" s="62" customFormat="1" ht="18" customHeight="1">
      <c r="B178" s="66" t="s">
        <v>329</v>
      </c>
      <c r="C178" s="61" t="s">
        <v>119</v>
      </c>
      <c r="D178" s="97">
        <v>220</v>
      </c>
      <c r="E178" s="65">
        <v>19.3</v>
      </c>
      <c r="F178" s="65">
        <v>7.47</v>
      </c>
      <c r="G178" s="65">
        <v>21.95</v>
      </c>
      <c r="H178" s="65">
        <v>232</v>
      </c>
      <c r="I178" s="65">
        <v>8.9700000000000006</v>
      </c>
    </row>
    <row r="179" spans="1:9" ht="18" customHeight="1">
      <c r="B179" s="66" t="s">
        <v>313</v>
      </c>
      <c r="C179" s="61" t="s">
        <v>76</v>
      </c>
      <c r="D179" s="66">
        <v>170</v>
      </c>
      <c r="E179" s="65">
        <v>0</v>
      </c>
      <c r="F179" s="65">
        <v>0</v>
      </c>
      <c r="G179" s="65">
        <v>20.29</v>
      </c>
      <c r="H179" s="65">
        <v>79.33</v>
      </c>
      <c r="I179" s="65">
        <v>21.31</v>
      </c>
    </row>
    <row r="180" spans="1:9" ht="18" customHeight="1">
      <c r="B180" s="66"/>
      <c r="C180" s="61" t="s">
        <v>12</v>
      </c>
      <c r="D180" s="64">
        <v>30</v>
      </c>
      <c r="E180" s="65">
        <v>2</v>
      </c>
      <c r="F180" s="65">
        <v>0.4</v>
      </c>
      <c r="G180" s="65">
        <v>10</v>
      </c>
      <c r="H180" s="65">
        <v>58</v>
      </c>
      <c r="I180" s="65">
        <v>0</v>
      </c>
    </row>
    <row r="181" spans="1:9" ht="18" customHeight="1">
      <c r="B181" s="66"/>
      <c r="C181" s="61" t="s">
        <v>79</v>
      </c>
      <c r="D181" s="64">
        <v>20</v>
      </c>
      <c r="E181" s="65">
        <v>1.3</v>
      </c>
      <c r="F181" s="65">
        <v>0.1</v>
      </c>
      <c r="G181" s="65">
        <v>9.3000000000000007</v>
      </c>
      <c r="H181" s="65">
        <v>45</v>
      </c>
      <c r="I181" s="65">
        <v>0</v>
      </c>
    </row>
    <row r="182" spans="1:9" ht="18" customHeight="1">
      <c r="B182" s="53"/>
      <c r="C182" s="111" t="s">
        <v>10</v>
      </c>
      <c r="D182" s="31">
        <f t="shared" ref="D182:I182" si="18">SUM(D176:D181)</f>
        <v>690</v>
      </c>
      <c r="E182" s="63">
        <f t="shared" si="18"/>
        <v>25.500000000000004</v>
      </c>
      <c r="F182" s="109">
        <f t="shared" si="18"/>
        <v>14.55</v>
      </c>
      <c r="G182" s="109">
        <f t="shared" si="18"/>
        <v>77.679999999999993</v>
      </c>
      <c r="H182" s="109">
        <f t="shared" si="18"/>
        <v>549.48</v>
      </c>
      <c r="I182" s="109">
        <f t="shared" si="18"/>
        <v>38.68</v>
      </c>
    </row>
    <row r="183" spans="1:9" ht="18" customHeight="1">
      <c r="A183" s="29">
        <v>5</v>
      </c>
      <c r="B183" s="171" t="s">
        <v>159</v>
      </c>
      <c r="C183" s="171"/>
      <c r="D183" s="171"/>
      <c r="E183" s="171"/>
      <c r="F183" s="171"/>
      <c r="G183" s="171"/>
      <c r="H183" s="171"/>
      <c r="I183" s="171"/>
    </row>
    <row r="184" spans="1:9" s="62" customFormat="1" ht="21" customHeight="1">
      <c r="B184" s="80" t="s">
        <v>330</v>
      </c>
      <c r="C184" s="61" t="s">
        <v>120</v>
      </c>
      <c r="D184" s="66">
        <v>50</v>
      </c>
      <c r="E184" s="65">
        <v>6.58</v>
      </c>
      <c r="F184" s="65">
        <v>3.91</v>
      </c>
      <c r="G184" s="65">
        <v>20.84</v>
      </c>
      <c r="H184" s="65">
        <v>144.29</v>
      </c>
      <c r="I184" s="65">
        <v>0.03</v>
      </c>
    </row>
    <row r="185" spans="1:9" s="62" customFormat="1" ht="18" customHeight="1">
      <c r="B185" s="80" t="s">
        <v>305</v>
      </c>
      <c r="C185" s="61" t="s">
        <v>73</v>
      </c>
      <c r="D185" s="66">
        <v>200</v>
      </c>
      <c r="E185" s="65">
        <v>6.09</v>
      </c>
      <c r="F185" s="65">
        <v>5.42</v>
      </c>
      <c r="G185" s="65">
        <v>10.08</v>
      </c>
      <c r="H185" s="65">
        <v>113.3</v>
      </c>
      <c r="I185" s="65">
        <v>2.73</v>
      </c>
    </row>
    <row r="186" spans="1:9" s="62" customFormat="1" ht="18" customHeight="1">
      <c r="B186" s="80"/>
      <c r="C186" s="111" t="s">
        <v>10</v>
      </c>
      <c r="D186" s="66">
        <v>250</v>
      </c>
      <c r="E186" s="80">
        <f>E184+E185</f>
        <v>12.67</v>
      </c>
      <c r="F186" s="80">
        <f t="shared" ref="F186:I186" si="19">F184+F185</f>
        <v>9.33</v>
      </c>
      <c r="G186" s="80">
        <f t="shared" si="19"/>
        <v>30.92</v>
      </c>
      <c r="H186" s="80">
        <f t="shared" si="19"/>
        <v>257.58999999999997</v>
      </c>
      <c r="I186" s="80">
        <f t="shared" si="19"/>
        <v>2.76</v>
      </c>
    </row>
    <row r="187" spans="1:9" s="62" customFormat="1" ht="18" customHeight="1">
      <c r="B187" s="167" t="s">
        <v>203</v>
      </c>
      <c r="C187" s="168"/>
      <c r="D187" s="168"/>
      <c r="E187" s="168"/>
      <c r="F187" s="168"/>
      <c r="G187" s="168"/>
      <c r="H187" s="168"/>
      <c r="I187" s="168"/>
    </row>
    <row r="188" spans="1:9" s="62" customFormat="1" ht="18" customHeight="1">
      <c r="B188" s="63" t="s">
        <v>331</v>
      </c>
      <c r="C188" s="61" t="s">
        <v>121</v>
      </c>
      <c r="D188" s="66">
        <v>70</v>
      </c>
      <c r="E188" s="65">
        <v>10.57</v>
      </c>
      <c r="F188" s="65">
        <v>3.43</v>
      </c>
      <c r="G188" s="65">
        <v>7.19</v>
      </c>
      <c r="H188" s="65">
        <v>101.5</v>
      </c>
      <c r="I188" s="65">
        <v>2.29</v>
      </c>
    </row>
    <row r="189" spans="1:9" s="62" customFormat="1" ht="18" customHeight="1">
      <c r="B189" s="109" t="s">
        <v>91</v>
      </c>
      <c r="C189" s="61" t="s">
        <v>90</v>
      </c>
      <c r="D189" s="66">
        <v>170</v>
      </c>
      <c r="E189" s="65">
        <v>3.51</v>
      </c>
      <c r="F189" s="65">
        <v>5.5</v>
      </c>
      <c r="G189" s="65">
        <v>16.03</v>
      </c>
      <c r="H189" s="65">
        <v>127.67</v>
      </c>
      <c r="I189" s="65">
        <v>29.18</v>
      </c>
    </row>
    <row r="190" spans="1:9" ht="18" customHeight="1">
      <c r="B190" s="109"/>
      <c r="C190" s="61" t="s">
        <v>12</v>
      </c>
      <c r="D190" s="66">
        <v>20</v>
      </c>
      <c r="E190" s="65">
        <v>1.3</v>
      </c>
      <c r="F190" s="65">
        <v>0.2</v>
      </c>
      <c r="G190" s="65">
        <v>6.7</v>
      </c>
      <c r="H190" s="65">
        <v>39</v>
      </c>
      <c r="I190" s="65">
        <v>0</v>
      </c>
    </row>
    <row r="191" spans="1:9" s="62" customFormat="1" ht="18" customHeight="1">
      <c r="B191" s="109"/>
      <c r="C191" s="61" t="s">
        <v>70</v>
      </c>
      <c r="D191" s="66">
        <v>30</v>
      </c>
      <c r="E191" s="65">
        <v>2</v>
      </c>
      <c r="F191" s="65">
        <v>0.2</v>
      </c>
      <c r="G191" s="65">
        <v>14</v>
      </c>
      <c r="H191" s="65">
        <v>67</v>
      </c>
      <c r="I191" s="65">
        <v>0</v>
      </c>
    </row>
    <row r="192" spans="1:9" s="62" customFormat="1" ht="18" customHeight="1">
      <c r="B192" s="129" t="s">
        <v>307</v>
      </c>
      <c r="C192" s="61" t="s">
        <v>26</v>
      </c>
      <c r="D192" s="66">
        <v>200</v>
      </c>
      <c r="E192" s="65">
        <v>0.2</v>
      </c>
      <c r="F192" s="65">
        <v>0.1</v>
      </c>
      <c r="G192" s="65">
        <v>12.21</v>
      </c>
      <c r="H192" s="65">
        <v>49</v>
      </c>
      <c r="I192" s="65">
        <v>1.6</v>
      </c>
    </row>
    <row r="193" spans="1:9" ht="18" customHeight="1">
      <c r="A193" s="29">
        <v>5</v>
      </c>
      <c r="B193" s="109"/>
      <c r="C193" s="109" t="s">
        <v>10</v>
      </c>
      <c r="D193" s="110">
        <f t="shared" ref="D193:I193" si="20">SUM(D188:D192)</f>
        <v>490</v>
      </c>
      <c r="E193" s="109">
        <f t="shared" si="20"/>
        <v>17.580000000000002</v>
      </c>
      <c r="F193" s="109">
        <f t="shared" si="20"/>
        <v>9.4299999999999979</v>
      </c>
      <c r="G193" s="109">
        <f t="shared" si="20"/>
        <v>56.13</v>
      </c>
      <c r="H193" s="109">
        <f t="shared" si="20"/>
        <v>384.17</v>
      </c>
      <c r="I193" s="109">
        <f t="shared" si="20"/>
        <v>33.07</v>
      </c>
    </row>
    <row r="194" spans="1:9" ht="18" customHeight="1">
      <c r="A194" s="29">
        <v>5</v>
      </c>
      <c r="B194" s="109"/>
      <c r="C194" s="109" t="s">
        <v>17</v>
      </c>
      <c r="D194" s="130">
        <f>D171+D174+D182+D186+D193</f>
        <v>2081</v>
      </c>
      <c r="E194" s="109">
        <f t="shared" ref="E194:I194" si="21">E171+E174+E182+E186+E193</f>
        <v>83.09</v>
      </c>
      <c r="F194" s="109">
        <f t="shared" si="21"/>
        <v>50.660000000000004</v>
      </c>
      <c r="G194" s="109">
        <f t="shared" si="21"/>
        <v>237.07</v>
      </c>
      <c r="H194" s="109">
        <f t="shared" si="21"/>
        <v>1706.18</v>
      </c>
      <c r="I194" s="109">
        <f t="shared" si="21"/>
        <v>79.72999999999999</v>
      </c>
    </row>
    <row r="195" spans="1:9" s="62" customFormat="1" ht="20.100000000000001" customHeight="1">
      <c r="B195" s="120"/>
      <c r="C195" s="120" t="s">
        <v>136</v>
      </c>
      <c r="D195" s="121"/>
      <c r="E195" s="120">
        <v>54</v>
      </c>
      <c r="F195" s="120">
        <v>60</v>
      </c>
      <c r="G195" s="120">
        <v>261</v>
      </c>
      <c r="H195" s="120">
        <v>1800</v>
      </c>
      <c r="I195" s="120">
        <v>50</v>
      </c>
    </row>
    <row r="196" spans="1:9" s="62" customFormat="1" ht="20.100000000000001" customHeight="1">
      <c r="B196" s="122"/>
      <c r="C196" s="122" t="s">
        <v>137</v>
      </c>
      <c r="D196" s="123"/>
      <c r="E196" s="122">
        <f>ROUND(E194/E195*100-100,2)</f>
        <v>53.87</v>
      </c>
      <c r="F196" s="122">
        <f t="shared" ref="F196:I196" si="22">ROUND(F194/F195*100-100,2)</f>
        <v>-15.57</v>
      </c>
      <c r="G196" s="122">
        <f t="shared" si="22"/>
        <v>-9.17</v>
      </c>
      <c r="H196" s="122">
        <f t="shared" si="22"/>
        <v>-5.21</v>
      </c>
      <c r="I196" s="122">
        <f t="shared" si="22"/>
        <v>59.46</v>
      </c>
    </row>
    <row r="197" spans="1:9" s="24" customFormat="1" ht="20.100000000000001" customHeight="1">
      <c r="B197" s="25" t="s">
        <v>165</v>
      </c>
      <c r="C197" s="26"/>
      <c r="D197" s="35"/>
      <c r="E197" s="36"/>
      <c r="F197" s="36"/>
      <c r="G197" s="36"/>
      <c r="H197" s="36"/>
      <c r="I197" s="36"/>
    </row>
    <row r="198" spans="1:9" s="24" customFormat="1" ht="20.100000000000001" customHeight="1">
      <c r="B198" s="25" t="s">
        <v>52</v>
      </c>
      <c r="C198" s="26"/>
      <c r="D198" s="35"/>
      <c r="E198" s="36"/>
      <c r="F198" s="36"/>
      <c r="G198" s="36"/>
      <c r="H198" s="36"/>
      <c r="I198" s="36"/>
    </row>
    <row r="199" spans="1:9" s="24" customFormat="1" ht="20.100000000000001" customHeight="1">
      <c r="B199" s="25" t="s">
        <v>144</v>
      </c>
      <c r="C199" s="26"/>
      <c r="D199" s="35"/>
      <c r="E199" s="36"/>
      <c r="F199" s="36"/>
      <c r="G199" s="36"/>
      <c r="H199" s="36"/>
      <c r="I199" s="36"/>
    </row>
    <row r="200" spans="1:9" s="24" customFormat="1" ht="20.100000000000001" customHeight="1">
      <c r="B200" s="25" t="s">
        <v>53</v>
      </c>
      <c r="C200" s="26"/>
      <c r="D200" s="35"/>
      <c r="E200" s="36"/>
      <c r="F200" s="36"/>
      <c r="G200" s="36"/>
      <c r="H200" s="36"/>
      <c r="I200" s="36"/>
    </row>
    <row r="201" spans="1:9" s="24" customFormat="1" ht="20.100000000000001" hidden="1" customHeight="1">
      <c r="B201" s="34"/>
      <c r="C201" s="34"/>
      <c r="D201" s="35"/>
      <c r="E201" s="36"/>
      <c r="F201" s="36"/>
      <c r="G201" s="36"/>
      <c r="H201" s="36"/>
      <c r="I201" s="36"/>
    </row>
    <row r="202" spans="1:9" s="24" customFormat="1" ht="35.25" customHeight="1">
      <c r="B202" s="178" t="s">
        <v>0</v>
      </c>
      <c r="C202" s="178" t="s">
        <v>1</v>
      </c>
      <c r="D202" s="175" t="s">
        <v>2</v>
      </c>
      <c r="E202" s="167" t="s">
        <v>3</v>
      </c>
      <c r="F202" s="168"/>
      <c r="G202" s="177"/>
      <c r="H202" s="174" t="s">
        <v>4</v>
      </c>
      <c r="I202" s="109"/>
    </row>
    <row r="203" spans="1:9" s="24" customFormat="1" ht="31.5" customHeight="1">
      <c r="B203" s="179"/>
      <c r="C203" s="179"/>
      <c r="D203" s="176"/>
      <c r="E203" s="109" t="s">
        <v>5</v>
      </c>
      <c r="F203" s="109" t="s">
        <v>6</v>
      </c>
      <c r="G203" s="109" t="s">
        <v>7</v>
      </c>
      <c r="H203" s="180"/>
      <c r="I203" s="109" t="s">
        <v>8</v>
      </c>
    </row>
    <row r="204" spans="1:9" ht="20.100000000000001" customHeight="1">
      <c r="A204" s="29">
        <v>6</v>
      </c>
      <c r="B204" s="171" t="s">
        <v>196</v>
      </c>
      <c r="C204" s="171"/>
      <c r="D204" s="171"/>
      <c r="E204" s="171"/>
      <c r="F204" s="171"/>
      <c r="G204" s="171"/>
      <c r="H204" s="171"/>
      <c r="I204" s="171"/>
    </row>
    <row r="205" spans="1:9" ht="30" customHeight="1">
      <c r="A205" s="29">
        <v>6</v>
      </c>
      <c r="B205" s="53" t="s">
        <v>332</v>
      </c>
      <c r="C205" s="16" t="s">
        <v>140</v>
      </c>
      <c r="D205" s="31">
        <v>200</v>
      </c>
      <c r="E205" s="32">
        <v>4.4000000000000004</v>
      </c>
      <c r="F205" s="32">
        <v>7.34</v>
      </c>
      <c r="G205" s="32">
        <v>15.9</v>
      </c>
      <c r="H205" s="32">
        <v>147.41999999999999</v>
      </c>
      <c r="I205" s="32">
        <v>0.52</v>
      </c>
    </row>
    <row r="206" spans="1:9" ht="18" customHeight="1">
      <c r="A206" s="29">
        <v>6</v>
      </c>
      <c r="B206" s="139" t="s">
        <v>333</v>
      </c>
      <c r="C206" s="61" t="s">
        <v>130</v>
      </c>
      <c r="D206" s="31">
        <v>80</v>
      </c>
      <c r="E206" s="32">
        <v>9.2100000000000009</v>
      </c>
      <c r="F206" s="32">
        <v>12.32</v>
      </c>
      <c r="G206" s="32">
        <v>1.33</v>
      </c>
      <c r="H206" s="32">
        <v>153.33000000000001</v>
      </c>
      <c r="I206" s="32">
        <v>1.04</v>
      </c>
    </row>
    <row r="207" spans="1:9" ht="18" customHeight="1">
      <c r="A207" s="29">
        <v>6</v>
      </c>
      <c r="B207" s="129" t="s">
        <v>308</v>
      </c>
      <c r="C207" s="61" t="s">
        <v>104</v>
      </c>
      <c r="D207" s="31">
        <v>180</v>
      </c>
      <c r="E207" s="32">
        <v>2.67</v>
      </c>
      <c r="F207" s="32">
        <v>2.34</v>
      </c>
      <c r="G207" s="32">
        <v>10.31</v>
      </c>
      <c r="H207" s="32">
        <v>73</v>
      </c>
      <c r="I207" s="32">
        <v>1.2</v>
      </c>
    </row>
    <row r="208" spans="1:9" s="62" customFormat="1" ht="18" customHeight="1">
      <c r="B208" s="129"/>
      <c r="C208" s="61" t="s">
        <v>79</v>
      </c>
      <c r="D208" s="130">
        <v>30</v>
      </c>
      <c r="E208" s="32">
        <v>2</v>
      </c>
      <c r="F208" s="32">
        <v>0.2</v>
      </c>
      <c r="G208" s="32">
        <v>14</v>
      </c>
      <c r="H208" s="32">
        <v>67</v>
      </c>
      <c r="I208" s="32">
        <v>0</v>
      </c>
    </row>
    <row r="209" spans="1:9" s="62" customFormat="1" ht="18" customHeight="1">
      <c r="A209" s="62">
        <v>6</v>
      </c>
      <c r="B209" s="67"/>
      <c r="C209" s="67" t="s">
        <v>10</v>
      </c>
      <c r="D209" s="72">
        <f t="shared" ref="D209:I209" si="23">SUM(D205:D208)</f>
        <v>490</v>
      </c>
      <c r="E209" s="67">
        <f t="shared" si="23"/>
        <v>18.28</v>
      </c>
      <c r="F209" s="82">
        <f t="shared" si="23"/>
        <v>22.2</v>
      </c>
      <c r="G209" s="82">
        <f t="shared" si="23"/>
        <v>41.54</v>
      </c>
      <c r="H209" s="82">
        <f t="shared" si="23"/>
        <v>440.75</v>
      </c>
      <c r="I209" s="82">
        <f t="shared" si="23"/>
        <v>2.76</v>
      </c>
    </row>
    <row r="210" spans="1:9" s="62" customFormat="1" ht="18" customHeight="1">
      <c r="B210" s="167" t="s">
        <v>194</v>
      </c>
      <c r="C210" s="168"/>
      <c r="D210" s="168"/>
      <c r="E210" s="168"/>
      <c r="F210" s="168"/>
      <c r="G210" s="168"/>
      <c r="H210" s="168"/>
      <c r="I210" s="168"/>
    </row>
    <row r="211" spans="1:9" s="62" customFormat="1" ht="18" customHeight="1">
      <c r="B211" s="67" t="s">
        <v>309</v>
      </c>
      <c r="C211" s="61" t="s">
        <v>65</v>
      </c>
      <c r="D211" s="68">
        <v>100</v>
      </c>
      <c r="E211" s="32">
        <v>0.4</v>
      </c>
      <c r="F211" s="32">
        <v>0.4</v>
      </c>
      <c r="G211" s="32">
        <v>9.8000000000000007</v>
      </c>
      <c r="H211" s="32">
        <v>44</v>
      </c>
      <c r="I211" s="32">
        <v>10</v>
      </c>
    </row>
    <row r="212" spans="1:9" s="62" customFormat="1" ht="18" customHeight="1">
      <c r="B212" s="67"/>
      <c r="C212" s="111" t="s">
        <v>10</v>
      </c>
      <c r="D212" s="68">
        <f>D211</f>
        <v>100</v>
      </c>
      <c r="E212" s="46">
        <f>E211</f>
        <v>0.4</v>
      </c>
      <c r="F212" s="46">
        <f t="shared" ref="F212:I212" si="24">F211</f>
        <v>0.4</v>
      </c>
      <c r="G212" s="46">
        <f t="shared" si="24"/>
        <v>9.8000000000000007</v>
      </c>
      <c r="H212" s="46">
        <f t="shared" si="24"/>
        <v>44</v>
      </c>
      <c r="I212" s="46">
        <f t="shared" si="24"/>
        <v>10</v>
      </c>
    </row>
    <row r="213" spans="1:9" ht="18" customHeight="1">
      <c r="A213" s="29">
        <v>6</v>
      </c>
      <c r="B213" s="173" t="s">
        <v>289</v>
      </c>
      <c r="C213" s="171"/>
      <c r="D213" s="171"/>
      <c r="E213" s="171"/>
      <c r="F213" s="171"/>
      <c r="G213" s="171"/>
      <c r="H213" s="171"/>
      <c r="I213" s="171"/>
    </row>
    <row r="214" spans="1:9" ht="18" customHeight="1">
      <c r="A214" s="29">
        <v>6</v>
      </c>
      <c r="B214" s="42" t="s">
        <v>310</v>
      </c>
      <c r="C214" s="43" t="s">
        <v>66</v>
      </c>
      <c r="D214" s="44">
        <v>50</v>
      </c>
      <c r="E214" s="33">
        <v>0.7</v>
      </c>
      <c r="F214" s="65">
        <v>2.54</v>
      </c>
      <c r="G214" s="65">
        <v>4.51</v>
      </c>
      <c r="H214" s="65">
        <v>43.7</v>
      </c>
      <c r="I214" s="65">
        <v>16.23</v>
      </c>
    </row>
    <row r="215" spans="1:9" ht="18" customHeight="1">
      <c r="B215" s="42" t="s">
        <v>334</v>
      </c>
      <c r="C215" s="43" t="s">
        <v>67</v>
      </c>
      <c r="D215" s="44">
        <v>250</v>
      </c>
      <c r="E215" s="65">
        <v>1.48</v>
      </c>
      <c r="F215" s="65">
        <v>4.91</v>
      </c>
      <c r="G215" s="65">
        <v>6.08</v>
      </c>
      <c r="H215" s="65">
        <v>76.25</v>
      </c>
      <c r="I215" s="65">
        <v>9.5</v>
      </c>
    </row>
    <row r="216" spans="1:9" s="62" customFormat="1" ht="18" customHeight="1">
      <c r="B216" s="42" t="s">
        <v>166</v>
      </c>
      <c r="C216" s="43" t="s">
        <v>167</v>
      </c>
      <c r="D216" s="44">
        <v>80</v>
      </c>
      <c r="E216" s="65">
        <v>9.2799999999999994</v>
      </c>
      <c r="F216" s="65">
        <v>21.48</v>
      </c>
      <c r="G216" s="65">
        <v>3.81</v>
      </c>
      <c r="H216" s="65">
        <v>297.33</v>
      </c>
      <c r="I216" s="65">
        <v>1.23</v>
      </c>
    </row>
    <row r="217" spans="1:9" s="62" customFormat="1" ht="18" customHeight="1">
      <c r="B217" s="42" t="s">
        <v>335</v>
      </c>
      <c r="C217" s="43" t="s">
        <v>168</v>
      </c>
      <c r="D217" s="44">
        <v>50</v>
      </c>
      <c r="E217" s="65">
        <v>0.95</v>
      </c>
      <c r="F217" s="65">
        <v>2.9</v>
      </c>
      <c r="G217" s="65">
        <v>4</v>
      </c>
      <c r="H217" s="65">
        <v>46</v>
      </c>
      <c r="I217" s="65">
        <v>1.2</v>
      </c>
    </row>
    <row r="218" spans="1:9" s="62" customFormat="1" ht="18" customHeight="1">
      <c r="B218" s="42" t="s">
        <v>336</v>
      </c>
      <c r="C218" s="43" t="s">
        <v>221</v>
      </c>
      <c r="D218" s="44">
        <v>130</v>
      </c>
      <c r="E218" s="65">
        <v>3.47</v>
      </c>
      <c r="F218" s="65">
        <v>3.68</v>
      </c>
      <c r="G218" s="65">
        <v>21.28</v>
      </c>
      <c r="H218" s="65">
        <v>132.08000000000001</v>
      </c>
      <c r="I218" s="65">
        <v>0</v>
      </c>
    </row>
    <row r="219" spans="1:9" ht="18" customHeight="1">
      <c r="B219" s="42" t="s">
        <v>92</v>
      </c>
      <c r="C219" s="43" t="s">
        <v>26</v>
      </c>
      <c r="D219" s="44">
        <v>200</v>
      </c>
      <c r="E219" s="65">
        <v>0.2</v>
      </c>
      <c r="F219" s="65">
        <v>0.1</v>
      </c>
      <c r="G219" s="65">
        <v>12.21</v>
      </c>
      <c r="H219" s="65">
        <v>49</v>
      </c>
      <c r="I219" s="65">
        <v>1.6</v>
      </c>
    </row>
    <row r="220" spans="1:9" ht="18" customHeight="1">
      <c r="B220" s="42"/>
      <c r="C220" s="43" t="s">
        <v>12</v>
      </c>
      <c r="D220" s="44">
        <v>30</v>
      </c>
      <c r="E220" s="65">
        <v>2</v>
      </c>
      <c r="F220" s="65">
        <v>0.4</v>
      </c>
      <c r="G220" s="65">
        <v>10</v>
      </c>
      <c r="H220" s="65">
        <v>58</v>
      </c>
      <c r="I220" s="65">
        <v>0</v>
      </c>
    </row>
    <row r="221" spans="1:9" ht="18" customHeight="1">
      <c r="B221" s="42"/>
      <c r="C221" s="43" t="s">
        <v>70</v>
      </c>
      <c r="D221" s="44">
        <v>10</v>
      </c>
      <c r="E221" s="65">
        <v>0.7</v>
      </c>
      <c r="F221" s="65">
        <v>7.0000000000000007E-2</v>
      </c>
      <c r="G221" s="65">
        <v>4.7</v>
      </c>
      <c r="H221" s="65">
        <v>22.7</v>
      </c>
      <c r="I221" s="65">
        <v>0</v>
      </c>
    </row>
    <row r="222" spans="1:9" ht="18" customHeight="1">
      <c r="A222" s="29">
        <v>6</v>
      </c>
      <c r="B222" s="42"/>
      <c r="C222" s="111" t="s">
        <v>10</v>
      </c>
      <c r="D222" s="44">
        <f t="shared" ref="D222:I222" si="25">SUM(D214:D221)</f>
        <v>800</v>
      </c>
      <c r="E222" s="82">
        <f t="shared" si="25"/>
        <v>18.779999999999998</v>
      </c>
      <c r="F222" s="101">
        <f t="shared" si="25"/>
        <v>36.08</v>
      </c>
      <c r="G222" s="101">
        <f t="shared" si="25"/>
        <v>66.59</v>
      </c>
      <c r="H222" s="101">
        <f t="shared" si="25"/>
        <v>725.06000000000006</v>
      </c>
      <c r="I222" s="101">
        <f t="shared" si="25"/>
        <v>29.76</v>
      </c>
    </row>
    <row r="223" spans="1:9" ht="18" customHeight="1">
      <c r="A223" s="29">
        <v>6</v>
      </c>
      <c r="B223" s="171" t="s">
        <v>239</v>
      </c>
      <c r="C223" s="171"/>
      <c r="D223" s="171"/>
      <c r="E223" s="171"/>
      <c r="F223" s="171"/>
      <c r="G223" s="171"/>
      <c r="H223" s="171"/>
      <c r="I223" s="171"/>
    </row>
    <row r="224" spans="1:9" s="62" customFormat="1" ht="18" customHeight="1">
      <c r="B224" s="82" t="s">
        <v>337</v>
      </c>
      <c r="C224" s="61" t="s">
        <v>71</v>
      </c>
      <c r="D224" s="66">
        <v>70</v>
      </c>
      <c r="E224" s="65">
        <v>5.29</v>
      </c>
      <c r="F224" s="65">
        <v>4.34</v>
      </c>
      <c r="G224" s="65">
        <v>28.8</v>
      </c>
      <c r="H224" s="65">
        <v>175</v>
      </c>
      <c r="I224" s="65">
        <v>0.25</v>
      </c>
    </row>
    <row r="225" spans="1:9" s="62" customFormat="1" ht="18" customHeight="1">
      <c r="B225" s="101" t="s">
        <v>338</v>
      </c>
      <c r="C225" s="61" t="s">
        <v>72</v>
      </c>
      <c r="D225" s="66">
        <v>50</v>
      </c>
      <c r="E225" s="65">
        <v>1.03</v>
      </c>
      <c r="F225" s="65">
        <v>2.62</v>
      </c>
      <c r="G225" s="65">
        <v>3.55</v>
      </c>
      <c r="H225" s="65">
        <v>41.9</v>
      </c>
      <c r="I225" s="65">
        <v>0.16</v>
      </c>
    </row>
    <row r="226" spans="1:9" s="62" customFormat="1" ht="18" customHeight="1">
      <c r="B226" s="82" t="s">
        <v>305</v>
      </c>
      <c r="C226" s="61" t="s">
        <v>73</v>
      </c>
      <c r="D226" s="66">
        <v>200</v>
      </c>
      <c r="E226" s="65">
        <v>6.09</v>
      </c>
      <c r="F226" s="65">
        <v>5.42</v>
      </c>
      <c r="G226" s="65">
        <v>10.08</v>
      </c>
      <c r="H226" s="65">
        <v>113.3</v>
      </c>
      <c r="I226" s="65">
        <v>2.73</v>
      </c>
    </row>
    <row r="227" spans="1:9" s="62" customFormat="1" ht="18" customHeight="1">
      <c r="B227" s="82"/>
      <c r="C227" s="111" t="s">
        <v>10</v>
      </c>
      <c r="D227" s="66">
        <v>320</v>
      </c>
      <c r="E227" s="82">
        <f>E224+E226+E225</f>
        <v>12.409999999999998</v>
      </c>
      <c r="F227" s="124">
        <f t="shared" ref="F227:I227" si="26">F224+F226+F225</f>
        <v>12.379999999999999</v>
      </c>
      <c r="G227" s="124">
        <f t="shared" si="26"/>
        <v>42.43</v>
      </c>
      <c r="H227" s="124">
        <f t="shared" si="26"/>
        <v>330.2</v>
      </c>
      <c r="I227" s="124">
        <f t="shared" si="26"/>
        <v>3.14</v>
      </c>
    </row>
    <row r="228" spans="1:9" s="62" customFormat="1" ht="18" customHeight="1">
      <c r="B228" s="167" t="s">
        <v>240</v>
      </c>
      <c r="C228" s="168"/>
      <c r="D228" s="168"/>
      <c r="E228" s="168"/>
      <c r="F228" s="168"/>
      <c r="G228" s="168"/>
      <c r="H228" s="168"/>
      <c r="I228" s="168"/>
    </row>
    <row r="229" spans="1:9" ht="18" customHeight="1">
      <c r="A229" s="29">
        <v>6</v>
      </c>
      <c r="B229" s="30" t="s">
        <v>339</v>
      </c>
      <c r="C229" s="16" t="s">
        <v>74</v>
      </c>
      <c r="D229" s="66">
        <v>70</v>
      </c>
      <c r="E229" s="65">
        <v>9.4499999999999993</v>
      </c>
      <c r="F229" s="65">
        <v>4.67</v>
      </c>
      <c r="G229" s="65">
        <v>10.6</v>
      </c>
      <c r="H229" s="65">
        <v>121.68</v>
      </c>
      <c r="I229" s="65">
        <v>1.61</v>
      </c>
    </row>
    <row r="230" spans="1:9" ht="18" customHeight="1">
      <c r="B230" s="67" t="s">
        <v>340</v>
      </c>
      <c r="C230" s="61" t="s">
        <v>75</v>
      </c>
      <c r="D230" s="31">
        <v>130</v>
      </c>
      <c r="E230" s="65">
        <v>3.35</v>
      </c>
      <c r="F230" s="65">
        <v>10.87</v>
      </c>
      <c r="G230" s="65">
        <v>23.8</v>
      </c>
      <c r="H230" s="65">
        <v>210</v>
      </c>
      <c r="I230" s="65">
        <v>13.74</v>
      </c>
    </row>
    <row r="231" spans="1:9" ht="18" customHeight="1">
      <c r="B231" s="67"/>
      <c r="C231" s="61" t="s">
        <v>12</v>
      </c>
      <c r="D231" s="52">
        <v>20</v>
      </c>
      <c r="E231" s="65">
        <v>1.3</v>
      </c>
      <c r="F231" s="65">
        <v>0.2</v>
      </c>
      <c r="G231" s="65">
        <v>6.7</v>
      </c>
      <c r="H231" s="65">
        <v>39</v>
      </c>
      <c r="I231" s="65">
        <v>0</v>
      </c>
    </row>
    <row r="232" spans="1:9" s="62" customFormat="1" ht="18" customHeight="1">
      <c r="B232" s="101"/>
      <c r="C232" s="61" t="s">
        <v>70</v>
      </c>
      <c r="D232" s="102">
        <v>25</v>
      </c>
      <c r="E232" s="65">
        <v>1.7</v>
      </c>
      <c r="F232" s="65">
        <v>0.2</v>
      </c>
      <c r="G232" s="65">
        <v>11.7</v>
      </c>
      <c r="H232" s="65">
        <v>56</v>
      </c>
      <c r="I232" s="65">
        <v>0</v>
      </c>
    </row>
    <row r="233" spans="1:9" s="62" customFormat="1" ht="18" customHeight="1">
      <c r="B233" s="129" t="s">
        <v>297</v>
      </c>
      <c r="C233" s="61" t="s">
        <v>169</v>
      </c>
      <c r="D233" s="102">
        <v>200</v>
      </c>
      <c r="E233" s="65">
        <v>1</v>
      </c>
      <c r="F233" s="65">
        <v>0</v>
      </c>
      <c r="G233" s="65">
        <v>20.2</v>
      </c>
      <c r="H233" s="65">
        <v>85.3</v>
      </c>
      <c r="I233" s="65">
        <v>4</v>
      </c>
    </row>
    <row r="234" spans="1:9" ht="18" customHeight="1">
      <c r="B234" s="51"/>
      <c r="C234" s="111" t="s">
        <v>10</v>
      </c>
      <c r="D234" s="52">
        <f t="shared" ref="D234:I234" si="27">SUM(D229:D233)</f>
        <v>445</v>
      </c>
      <c r="E234" s="46">
        <f t="shared" si="27"/>
        <v>16.799999999999997</v>
      </c>
      <c r="F234" s="46">
        <f t="shared" si="27"/>
        <v>15.939999999999998</v>
      </c>
      <c r="G234" s="46">
        <f t="shared" si="27"/>
        <v>73</v>
      </c>
      <c r="H234" s="46">
        <f t="shared" si="27"/>
        <v>511.98</v>
      </c>
      <c r="I234" s="46">
        <f t="shared" si="27"/>
        <v>19.350000000000001</v>
      </c>
    </row>
    <row r="235" spans="1:9" ht="18" customHeight="1">
      <c r="B235" s="54"/>
      <c r="C235" s="82" t="s">
        <v>18</v>
      </c>
      <c r="D235" s="55">
        <f>D209+D212+D222+D227+D234</f>
        <v>2155</v>
      </c>
      <c r="E235" s="46">
        <f>E209+E212+E222+E234+E227</f>
        <v>66.669999999999987</v>
      </c>
      <c r="F235" s="46">
        <f>F209+F212+F222+F234+F227</f>
        <v>86.999999999999986</v>
      </c>
      <c r="G235" s="46">
        <f>G209+G212+G222+G234+G227</f>
        <v>233.36</v>
      </c>
      <c r="H235" s="46">
        <f>H209+H212+H222+H234+H227</f>
        <v>2051.9899999999998</v>
      </c>
      <c r="I235" s="46">
        <f>I209+I212+I222+I234+I227</f>
        <v>65.010000000000005</v>
      </c>
    </row>
    <row r="236" spans="1:9" s="62" customFormat="1" ht="20.100000000000001" customHeight="1">
      <c r="B236" s="120"/>
      <c r="C236" s="120" t="s">
        <v>136</v>
      </c>
      <c r="D236" s="121"/>
      <c r="E236" s="120">
        <v>54</v>
      </c>
      <c r="F236" s="120">
        <v>60</v>
      </c>
      <c r="G236" s="120">
        <v>261</v>
      </c>
      <c r="H236" s="120">
        <v>1800</v>
      </c>
      <c r="I236" s="120">
        <v>50</v>
      </c>
    </row>
    <row r="237" spans="1:9" s="62" customFormat="1" ht="20.100000000000001" customHeight="1">
      <c r="B237" s="122"/>
      <c r="C237" s="122" t="s">
        <v>137</v>
      </c>
      <c r="D237" s="123"/>
      <c r="E237" s="122">
        <f>ROUND(E235/E236*100-100,2)</f>
        <v>23.46</v>
      </c>
      <c r="F237" s="122">
        <f t="shared" ref="F237:I237" si="28">ROUND(F235/F236*100-100,2)</f>
        <v>45</v>
      </c>
      <c r="G237" s="122">
        <f t="shared" si="28"/>
        <v>-10.59</v>
      </c>
      <c r="H237" s="122">
        <f t="shared" si="28"/>
        <v>14</v>
      </c>
      <c r="I237" s="122">
        <f t="shared" si="28"/>
        <v>30.02</v>
      </c>
    </row>
    <row r="238" spans="1:9" s="24" customFormat="1" ht="20.100000000000001" customHeight="1">
      <c r="B238" s="25" t="s">
        <v>176</v>
      </c>
      <c r="C238" s="26"/>
      <c r="D238" s="35"/>
      <c r="E238" s="36"/>
      <c r="F238" s="36"/>
      <c r="G238" s="36"/>
      <c r="H238" s="36"/>
      <c r="I238" s="36"/>
    </row>
    <row r="239" spans="1:9" s="24" customFormat="1" ht="20.100000000000001" customHeight="1">
      <c r="B239" s="25" t="s">
        <v>52</v>
      </c>
      <c r="C239" s="26"/>
      <c r="D239" s="35"/>
      <c r="E239" s="36"/>
      <c r="F239" s="36"/>
      <c r="G239" s="36"/>
      <c r="H239" s="36"/>
      <c r="I239" s="36"/>
    </row>
    <row r="240" spans="1:9" s="24" customFormat="1" ht="20.100000000000001" customHeight="1">
      <c r="B240" s="25" t="s">
        <v>144</v>
      </c>
      <c r="C240" s="26"/>
      <c r="D240" s="35"/>
      <c r="E240" s="36"/>
      <c r="F240" s="36"/>
      <c r="G240" s="36"/>
      <c r="H240" s="36"/>
      <c r="I240" s="36"/>
    </row>
    <row r="241" spans="1:9" s="24" customFormat="1">
      <c r="B241" s="25" t="s">
        <v>53</v>
      </c>
      <c r="C241" s="26"/>
      <c r="D241" s="27"/>
      <c r="E241" s="28"/>
      <c r="F241" s="28"/>
      <c r="G241" s="28"/>
      <c r="H241" s="28"/>
      <c r="I241" s="28"/>
    </row>
    <row r="242" spans="1:9" s="24" customFormat="1" ht="36.75" customHeight="1">
      <c r="B242" s="169" t="s">
        <v>0</v>
      </c>
      <c r="C242" s="169" t="s">
        <v>1</v>
      </c>
      <c r="D242" s="170" t="s">
        <v>2</v>
      </c>
      <c r="E242" s="171" t="s">
        <v>3</v>
      </c>
      <c r="F242" s="171"/>
      <c r="G242" s="171"/>
      <c r="H242" s="171" t="s">
        <v>4</v>
      </c>
      <c r="I242" s="99"/>
    </row>
    <row r="243" spans="1:9" s="24" customFormat="1" ht="27" customHeight="1">
      <c r="B243" s="169"/>
      <c r="C243" s="169"/>
      <c r="D243" s="170"/>
      <c r="E243" s="30" t="s">
        <v>5</v>
      </c>
      <c r="F243" s="30" t="s">
        <v>6</v>
      </c>
      <c r="G243" s="30" t="s">
        <v>7</v>
      </c>
      <c r="H243" s="171"/>
      <c r="I243" s="30" t="s">
        <v>8</v>
      </c>
    </row>
    <row r="244" spans="1:9" ht="18" customHeight="1">
      <c r="A244" s="29">
        <v>7</v>
      </c>
      <c r="B244" s="171" t="s">
        <v>290</v>
      </c>
      <c r="C244" s="171"/>
      <c r="D244" s="171"/>
      <c r="E244" s="171"/>
      <c r="F244" s="171"/>
      <c r="G244" s="171"/>
      <c r="H244" s="171"/>
      <c r="I244" s="171"/>
    </row>
    <row r="245" spans="1:9" ht="20.25" customHeight="1">
      <c r="A245" s="29">
        <v>7</v>
      </c>
      <c r="B245" s="30" t="s">
        <v>94</v>
      </c>
      <c r="C245" s="16" t="s">
        <v>93</v>
      </c>
      <c r="D245" s="66" t="s">
        <v>77</v>
      </c>
      <c r="E245" s="41">
        <v>7.47</v>
      </c>
      <c r="F245" s="33">
        <v>8.09</v>
      </c>
      <c r="G245" s="33">
        <v>36.090000000000003</v>
      </c>
      <c r="H245" s="33">
        <v>252</v>
      </c>
      <c r="I245" s="33">
        <v>1.17</v>
      </c>
    </row>
    <row r="246" spans="1:9" ht="18" customHeight="1">
      <c r="A246" s="29">
        <v>7</v>
      </c>
      <c r="B246" s="139" t="s">
        <v>222</v>
      </c>
      <c r="C246" s="16" t="s">
        <v>122</v>
      </c>
      <c r="D246" s="31">
        <v>5</v>
      </c>
      <c r="E246" s="33">
        <v>0.04</v>
      </c>
      <c r="F246" s="33">
        <v>3.63</v>
      </c>
      <c r="G246" s="33">
        <v>7.0000000000000007E-2</v>
      </c>
      <c r="H246" s="33">
        <v>33</v>
      </c>
      <c r="I246" s="33">
        <v>0</v>
      </c>
    </row>
    <row r="247" spans="1:9" ht="19.899999999999999" customHeight="1">
      <c r="B247" s="30"/>
      <c r="C247" s="16" t="s">
        <v>70</v>
      </c>
      <c r="D247" s="31">
        <v>25</v>
      </c>
      <c r="E247" s="33">
        <v>1.7</v>
      </c>
      <c r="F247" s="33">
        <v>0.2</v>
      </c>
      <c r="G247" s="33">
        <v>11.7</v>
      </c>
      <c r="H247" s="33">
        <v>56</v>
      </c>
      <c r="I247" s="33">
        <v>0</v>
      </c>
    </row>
    <row r="248" spans="1:9" ht="18" customHeight="1">
      <c r="A248" s="29">
        <v>7</v>
      </c>
      <c r="B248" s="132" t="s">
        <v>317</v>
      </c>
      <c r="C248" s="61" t="s">
        <v>27</v>
      </c>
      <c r="D248" s="31">
        <v>180</v>
      </c>
      <c r="E248" s="33">
        <v>3.67</v>
      </c>
      <c r="F248" s="33">
        <v>3.19</v>
      </c>
      <c r="G248" s="33">
        <v>11.82</v>
      </c>
      <c r="H248" s="33">
        <v>91</v>
      </c>
      <c r="I248" s="33">
        <v>1.43</v>
      </c>
    </row>
    <row r="249" spans="1:9" s="62" customFormat="1" ht="18" customHeight="1">
      <c r="A249" s="62">
        <v>7</v>
      </c>
      <c r="B249" s="67"/>
      <c r="C249" s="67" t="s">
        <v>10</v>
      </c>
      <c r="D249" s="68">
        <v>415</v>
      </c>
      <c r="E249" s="67">
        <f>SUM(E245:E248)</f>
        <v>12.879999999999999</v>
      </c>
      <c r="F249" s="67">
        <f>SUM(F245:F248)</f>
        <v>15.109999999999998</v>
      </c>
      <c r="G249" s="67">
        <f>SUM(G245:G248)</f>
        <v>59.68</v>
      </c>
      <c r="H249" s="67">
        <f>SUM(H245:H248)</f>
        <v>432</v>
      </c>
      <c r="I249" s="67">
        <f>SUM(I245:I248)</f>
        <v>2.5999999999999996</v>
      </c>
    </row>
    <row r="250" spans="1:9" s="62" customFormat="1" ht="18" customHeight="1">
      <c r="B250" s="167" t="s">
        <v>194</v>
      </c>
      <c r="C250" s="168"/>
      <c r="D250" s="168"/>
      <c r="E250" s="168"/>
      <c r="F250" s="168"/>
      <c r="G250" s="168"/>
      <c r="H250" s="168"/>
      <c r="I250" s="168"/>
    </row>
    <row r="251" spans="1:9" s="62" customFormat="1" ht="18" customHeight="1">
      <c r="B251" s="67" t="s">
        <v>309</v>
      </c>
      <c r="C251" s="61" t="s">
        <v>65</v>
      </c>
      <c r="D251" s="68">
        <v>100</v>
      </c>
      <c r="E251" s="65">
        <v>0.4</v>
      </c>
      <c r="F251" s="65">
        <v>0.4</v>
      </c>
      <c r="G251" s="65">
        <v>9.8000000000000007</v>
      </c>
      <c r="H251" s="65">
        <v>44</v>
      </c>
      <c r="I251" s="65">
        <v>10</v>
      </c>
    </row>
    <row r="252" spans="1:9" ht="18" customHeight="1">
      <c r="B252" s="30"/>
      <c r="C252" s="111" t="s">
        <v>10</v>
      </c>
      <c r="D252" s="70">
        <f>D251</f>
        <v>100</v>
      </c>
      <c r="E252" s="89">
        <f>E251</f>
        <v>0.4</v>
      </c>
      <c r="F252" s="109">
        <f t="shared" ref="F252:I252" si="29">F251</f>
        <v>0.4</v>
      </c>
      <c r="G252" s="109">
        <f t="shared" si="29"/>
        <v>9.8000000000000007</v>
      </c>
      <c r="H252" s="109">
        <f t="shared" si="29"/>
        <v>44</v>
      </c>
      <c r="I252" s="109">
        <f t="shared" si="29"/>
        <v>10</v>
      </c>
    </row>
    <row r="253" spans="1:9" ht="18" customHeight="1">
      <c r="A253" s="29">
        <v>7</v>
      </c>
      <c r="B253" s="171" t="s">
        <v>291</v>
      </c>
      <c r="C253" s="171"/>
      <c r="D253" s="171"/>
      <c r="E253" s="171"/>
      <c r="F253" s="171"/>
      <c r="G253" s="171"/>
      <c r="H253" s="171"/>
      <c r="I253" s="171"/>
    </row>
    <row r="254" spans="1:9" ht="18" customHeight="1">
      <c r="A254" s="29">
        <v>7</v>
      </c>
      <c r="B254" s="132" t="s">
        <v>341</v>
      </c>
      <c r="C254" s="61" t="s">
        <v>370</v>
      </c>
      <c r="D254" s="31">
        <v>50</v>
      </c>
      <c r="E254" s="33">
        <v>0.71</v>
      </c>
      <c r="F254" s="33">
        <v>3.04</v>
      </c>
      <c r="G254" s="33">
        <v>4.18</v>
      </c>
      <c r="H254" s="33">
        <v>46.95</v>
      </c>
      <c r="I254" s="33">
        <v>4.75</v>
      </c>
    </row>
    <row r="255" spans="1:9" ht="18" customHeight="1">
      <c r="B255" s="132" t="s">
        <v>342</v>
      </c>
      <c r="C255" s="61" t="s">
        <v>177</v>
      </c>
      <c r="D255" s="133" t="s">
        <v>178</v>
      </c>
      <c r="E255" s="33">
        <v>1.68</v>
      </c>
      <c r="F255" s="33">
        <v>2.69</v>
      </c>
      <c r="G255" s="33">
        <v>9.7100000000000009</v>
      </c>
      <c r="H255" s="33">
        <v>69.8</v>
      </c>
      <c r="I255" s="33">
        <v>4.5999999999999996</v>
      </c>
    </row>
    <row r="256" spans="1:9" ht="18" customHeight="1">
      <c r="B256" s="51" t="s">
        <v>343</v>
      </c>
      <c r="C256" s="16" t="s">
        <v>123</v>
      </c>
      <c r="D256" s="52">
        <v>75</v>
      </c>
      <c r="E256" s="33">
        <v>15.1</v>
      </c>
      <c r="F256" s="33">
        <v>10.5</v>
      </c>
      <c r="G256" s="33">
        <v>10.1</v>
      </c>
      <c r="H256" s="33">
        <v>196</v>
      </c>
      <c r="I256" s="33">
        <v>9.2899999999999991</v>
      </c>
    </row>
    <row r="257" spans="1:9" ht="18" customHeight="1">
      <c r="B257" s="132" t="s">
        <v>344</v>
      </c>
      <c r="C257" s="61" t="s">
        <v>153</v>
      </c>
      <c r="D257" s="31">
        <v>130</v>
      </c>
      <c r="E257" s="65">
        <v>3.97</v>
      </c>
      <c r="F257" s="65">
        <v>4.34</v>
      </c>
      <c r="G257" s="65">
        <v>17.79</v>
      </c>
      <c r="H257" s="65">
        <v>126.1</v>
      </c>
      <c r="I257" s="65">
        <v>0</v>
      </c>
    </row>
    <row r="258" spans="1:9" ht="18" customHeight="1">
      <c r="B258" s="132" t="s">
        <v>302</v>
      </c>
      <c r="C258" s="61" t="s">
        <v>69</v>
      </c>
      <c r="D258" s="31">
        <v>200</v>
      </c>
      <c r="E258" s="65">
        <v>0.44</v>
      </c>
      <c r="F258" s="65">
        <v>0.02</v>
      </c>
      <c r="G258" s="65">
        <v>20.78</v>
      </c>
      <c r="H258" s="65">
        <v>85</v>
      </c>
      <c r="I258" s="65">
        <v>0.4</v>
      </c>
    </row>
    <row r="259" spans="1:9" ht="18" customHeight="1">
      <c r="B259" s="69"/>
      <c r="C259" s="61" t="s">
        <v>12</v>
      </c>
      <c r="D259" s="31">
        <v>30</v>
      </c>
      <c r="E259" s="65">
        <v>2</v>
      </c>
      <c r="F259" s="65">
        <v>0.4</v>
      </c>
      <c r="G259" s="65">
        <v>10</v>
      </c>
      <c r="H259" s="65">
        <v>58</v>
      </c>
      <c r="I259" s="65">
        <v>0</v>
      </c>
    </row>
    <row r="260" spans="1:9" ht="18.75" customHeight="1">
      <c r="B260" s="69"/>
      <c r="C260" s="61" t="s">
        <v>79</v>
      </c>
      <c r="D260" s="31">
        <v>20</v>
      </c>
      <c r="E260" s="65">
        <v>1.3</v>
      </c>
      <c r="F260" s="65">
        <v>0.1</v>
      </c>
      <c r="G260" s="65">
        <v>9.3000000000000007</v>
      </c>
      <c r="H260" s="65">
        <v>45</v>
      </c>
      <c r="I260" s="65">
        <v>0</v>
      </c>
    </row>
    <row r="261" spans="1:9" ht="18" customHeight="1">
      <c r="B261" s="69"/>
      <c r="C261" s="111" t="s">
        <v>10</v>
      </c>
      <c r="D261" s="31">
        <v>725</v>
      </c>
      <c r="E261" s="89">
        <f>SUM(E254:E260)</f>
        <v>25.2</v>
      </c>
      <c r="F261" s="109">
        <f>SUM(F254:F260)</f>
        <v>21.09</v>
      </c>
      <c r="G261" s="109">
        <f>SUM(G254:G260)</f>
        <v>81.86</v>
      </c>
      <c r="H261" s="109">
        <f>SUM(H254:H260)</f>
        <v>626.85</v>
      </c>
      <c r="I261" s="109">
        <f>SUM(I254:I260)</f>
        <v>19.04</v>
      </c>
    </row>
    <row r="262" spans="1:9" ht="18" customHeight="1">
      <c r="A262" s="29">
        <v>7</v>
      </c>
      <c r="B262" s="171" t="s">
        <v>195</v>
      </c>
      <c r="C262" s="171"/>
      <c r="D262" s="171"/>
      <c r="E262" s="171"/>
      <c r="F262" s="171"/>
      <c r="G262" s="171"/>
      <c r="H262" s="171"/>
      <c r="I262" s="171"/>
    </row>
    <row r="263" spans="1:9" s="62" customFormat="1" ht="18" customHeight="1">
      <c r="B263" s="82"/>
      <c r="C263" s="61" t="s">
        <v>147</v>
      </c>
      <c r="D263" s="66">
        <v>50</v>
      </c>
      <c r="E263" s="65">
        <v>2.65</v>
      </c>
      <c r="F263" s="65">
        <v>2.7</v>
      </c>
      <c r="G263" s="65">
        <v>34.75</v>
      </c>
      <c r="H263" s="65">
        <v>172</v>
      </c>
      <c r="I263" s="65">
        <v>0</v>
      </c>
    </row>
    <row r="264" spans="1:9" s="62" customFormat="1" ht="18" customHeight="1">
      <c r="B264" s="139" t="s">
        <v>223</v>
      </c>
      <c r="C264" s="61" t="s">
        <v>209</v>
      </c>
      <c r="D264" s="66" t="s">
        <v>124</v>
      </c>
      <c r="E264" s="65">
        <v>5.22</v>
      </c>
      <c r="F264" s="65">
        <v>4.5</v>
      </c>
      <c r="G264" s="65">
        <v>12.19</v>
      </c>
      <c r="H264" s="65">
        <v>110</v>
      </c>
      <c r="I264" s="65">
        <v>1.26</v>
      </c>
    </row>
    <row r="265" spans="1:9" s="62" customFormat="1" ht="18" customHeight="1">
      <c r="B265" s="82"/>
      <c r="C265" s="111" t="s">
        <v>10</v>
      </c>
      <c r="D265" s="66">
        <v>235</v>
      </c>
      <c r="E265" s="89">
        <f>SUM(E263:E264)</f>
        <v>7.8699999999999992</v>
      </c>
      <c r="F265" s="109">
        <f>SUM(F263:F264)</f>
        <v>7.2</v>
      </c>
      <c r="G265" s="109">
        <f>SUM(G263:G264)</f>
        <v>46.94</v>
      </c>
      <c r="H265" s="109">
        <f>SUM(H263:H264)</f>
        <v>282</v>
      </c>
      <c r="I265" s="109">
        <f>SUM(I263:I264)</f>
        <v>1.26</v>
      </c>
    </row>
    <row r="266" spans="1:9" s="62" customFormat="1" ht="18" customHeight="1">
      <c r="B266" s="167" t="s">
        <v>183</v>
      </c>
      <c r="C266" s="168"/>
      <c r="D266" s="168"/>
      <c r="E266" s="168"/>
      <c r="F266" s="168"/>
      <c r="G266" s="168"/>
      <c r="H266" s="168"/>
      <c r="I266" s="168"/>
    </row>
    <row r="267" spans="1:9" s="62" customFormat="1" ht="18" customHeight="1">
      <c r="B267" s="132" t="s">
        <v>345</v>
      </c>
      <c r="C267" s="61" t="s">
        <v>179</v>
      </c>
      <c r="D267" s="66">
        <v>50</v>
      </c>
      <c r="E267" s="65">
        <v>0.6</v>
      </c>
      <c r="F267" s="65">
        <v>1.49</v>
      </c>
      <c r="G267" s="65">
        <v>5.0599999999999996</v>
      </c>
      <c r="H267" s="65">
        <v>36.049999999999997</v>
      </c>
      <c r="I267" s="65">
        <v>1.26</v>
      </c>
    </row>
    <row r="268" spans="1:9" s="62" customFormat="1" ht="18" customHeight="1">
      <c r="B268" s="132" t="s">
        <v>314</v>
      </c>
      <c r="C268" s="61" t="s">
        <v>180</v>
      </c>
      <c r="D268" s="66" t="s">
        <v>181</v>
      </c>
      <c r="E268" s="65">
        <v>10.08</v>
      </c>
      <c r="F268" s="65">
        <v>17.7</v>
      </c>
      <c r="G268" s="65">
        <v>25.54</v>
      </c>
      <c r="H268" s="65">
        <v>306.5</v>
      </c>
      <c r="I268" s="65">
        <v>3.8</v>
      </c>
    </row>
    <row r="269" spans="1:9" ht="18" customHeight="1">
      <c r="B269" s="82"/>
      <c r="C269" s="61" t="s">
        <v>12</v>
      </c>
      <c r="D269" s="66">
        <v>20</v>
      </c>
      <c r="E269" s="65">
        <v>1.3</v>
      </c>
      <c r="F269" s="65">
        <v>0.2</v>
      </c>
      <c r="G269" s="65">
        <v>6.7</v>
      </c>
      <c r="H269" s="65">
        <v>39</v>
      </c>
      <c r="I269" s="65">
        <v>0</v>
      </c>
    </row>
    <row r="270" spans="1:9" s="62" customFormat="1" ht="18" customHeight="1">
      <c r="B270" s="109"/>
      <c r="C270" s="61" t="s">
        <v>79</v>
      </c>
      <c r="D270" s="66">
        <v>30</v>
      </c>
      <c r="E270" s="65">
        <v>2</v>
      </c>
      <c r="F270" s="65">
        <v>0.2</v>
      </c>
      <c r="G270" s="65">
        <v>14</v>
      </c>
      <c r="H270" s="65">
        <v>67</v>
      </c>
      <c r="I270" s="65">
        <v>0</v>
      </c>
    </row>
    <row r="271" spans="1:9" s="62" customFormat="1" ht="18" customHeight="1">
      <c r="B271" s="132" t="s">
        <v>315</v>
      </c>
      <c r="C271" s="61" t="s">
        <v>161</v>
      </c>
      <c r="D271" s="66" t="s">
        <v>101</v>
      </c>
      <c r="E271" s="65">
        <v>0.01</v>
      </c>
      <c r="F271" s="65">
        <v>0.01</v>
      </c>
      <c r="G271" s="65">
        <v>5.99</v>
      </c>
      <c r="H271" s="65">
        <v>23.94</v>
      </c>
      <c r="I271" s="65">
        <v>0.02</v>
      </c>
    </row>
    <row r="272" spans="1:9" s="62" customFormat="1" ht="18" customHeight="1">
      <c r="B272" s="132" t="s">
        <v>309</v>
      </c>
      <c r="C272" s="61" t="s">
        <v>157</v>
      </c>
      <c r="D272" s="66">
        <v>100</v>
      </c>
      <c r="E272" s="65">
        <v>0.4</v>
      </c>
      <c r="F272" s="65">
        <v>0.3</v>
      </c>
      <c r="G272" s="65">
        <v>10.3</v>
      </c>
      <c r="H272" s="65">
        <v>46</v>
      </c>
      <c r="I272" s="65">
        <v>5</v>
      </c>
    </row>
    <row r="273" spans="1:9" ht="18" customHeight="1">
      <c r="A273" s="29">
        <v>7</v>
      </c>
      <c r="B273" s="30"/>
      <c r="C273" s="111" t="s">
        <v>10</v>
      </c>
      <c r="D273" s="31">
        <v>561</v>
      </c>
      <c r="E273" s="30">
        <f>SUM(E267:E272)</f>
        <v>14.39</v>
      </c>
      <c r="F273" s="124">
        <f>SUM(F267:F272)</f>
        <v>19.899999999999999</v>
      </c>
      <c r="G273" s="124">
        <f>SUM(G267:G272)</f>
        <v>67.59</v>
      </c>
      <c r="H273" s="124">
        <f>SUM(H267:H272)</f>
        <v>518.49</v>
      </c>
      <c r="I273" s="124">
        <f>SUM(I267:I272)</f>
        <v>10.079999999999998</v>
      </c>
    </row>
    <row r="274" spans="1:9" ht="18" customHeight="1">
      <c r="A274" s="29">
        <v>7</v>
      </c>
      <c r="B274" s="30"/>
      <c r="C274" s="69" t="s">
        <v>19</v>
      </c>
      <c r="D274" s="31">
        <f>D249+D252+D261+D265+D273</f>
        <v>2036</v>
      </c>
      <c r="E274" s="30">
        <f>E249+E252+E261+E273+E265</f>
        <v>60.739999999999995</v>
      </c>
      <c r="F274" s="69">
        <f>F249+F252+F261+F273+F265</f>
        <v>63.699999999999996</v>
      </c>
      <c r="G274" s="69">
        <f>G249+G252+G261+G273+G265</f>
        <v>265.87</v>
      </c>
      <c r="H274" s="69">
        <f>H249+H252+H261+H273+H265</f>
        <v>1903.34</v>
      </c>
      <c r="I274" s="69">
        <f>I249+I252+I261+I273+I265</f>
        <v>42.98</v>
      </c>
    </row>
    <row r="275" spans="1:9" s="62" customFormat="1" ht="20.100000000000001" customHeight="1">
      <c r="B275" s="120"/>
      <c r="C275" s="120" t="s">
        <v>136</v>
      </c>
      <c r="D275" s="121"/>
      <c r="E275" s="120">
        <v>54</v>
      </c>
      <c r="F275" s="120">
        <v>60</v>
      </c>
      <c r="G275" s="120">
        <v>261</v>
      </c>
      <c r="H275" s="120">
        <v>1800</v>
      </c>
      <c r="I275" s="120">
        <v>50</v>
      </c>
    </row>
    <row r="276" spans="1:9" s="62" customFormat="1" ht="20.100000000000001" customHeight="1">
      <c r="B276" s="122"/>
      <c r="C276" s="122" t="s">
        <v>137</v>
      </c>
      <c r="D276" s="123"/>
      <c r="E276" s="122">
        <f>ROUND(E274/E275*100-100,2)</f>
        <v>12.48</v>
      </c>
      <c r="F276" s="122">
        <f t="shared" ref="F276:I276" si="30">ROUND(F274/F275*100-100,2)</f>
        <v>6.17</v>
      </c>
      <c r="G276" s="122">
        <f t="shared" si="30"/>
        <v>1.87</v>
      </c>
      <c r="H276" s="122">
        <f t="shared" si="30"/>
        <v>5.74</v>
      </c>
      <c r="I276" s="122">
        <f t="shared" si="30"/>
        <v>-14.04</v>
      </c>
    </row>
    <row r="277" spans="1:9" s="24" customFormat="1" ht="20.100000000000001" customHeight="1">
      <c r="B277" s="25" t="s">
        <v>184</v>
      </c>
      <c r="C277" s="26"/>
      <c r="D277" s="35"/>
      <c r="E277" s="36"/>
      <c r="F277" s="36"/>
      <c r="G277" s="36"/>
      <c r="H277" s="36"/>
      <c r="I277" s="36"/>
    </row>
    <row r="278" spans="1:9" s="24" customFormat="1" ht="20.100000000000001" customHeight="1">
      <c r="B278" s="25" t="s">
        <v>52</v>
      </c>
      <c r="C278" s="26"/>
      <c r="D278" s="35"/>
      <c r="E278" s="36"/>
      <c r="F278" s="36"/>
      <c r="G278" s="36"/>
      <c r="H278" s="36"/>
      <c r="I278" s="36"/>
    </row>
    <row r="279" spans="1:9" s="24" customFormat="1" ht="20.100000000000001" customHeight="1">
      <c r="B279" s="25" t="s">
        <v>144</v>
      </c>
      <c r="C279" s="26"/>
      <c r="D279" s="35"/>
      <c r="E279" s="36"/>
      <c r="F279" s="36"/>
      <c r="G279" s="36"/>
      <c r="H279" s="36"/>
      <c r="I279" s="36"/>
    </row>
    <row r="280" spans="1:9" s="24" customFormat="1">
      <c r="B280" s="25" t="s">
        <v>53</v>
      </c>
      <c r="C280" s="26"/>
      <c r="D280" s="27"/>
      <c r="E280" s="28"/>
      <c r="F280" s="28"/>
      <c r="G280" s="28"/>
      <c r="H280" s="28"/>
      <c r="I280" s="28"/>
    </row>
    <row r="281" spans="1:9" s="24" customFormat="1" ht="17.45" customHeight="1">
      <c r="B281" s="34"/>
      <c r="C281" s="34"/>
      <c r="D281" s="35"/>
      <c r="E281" s="36"/>
      <c r="F281" s="36"/>
      <c r="G281" s="36"/>
      <c r="H281" s="36"/>
      <c r="I281" s="36"/>
    </row>
    <row r="282" spans="1:9" s="24" customFormat="1" ht="36" customHeight="1">
      <c r="B282" s="169" t="s">
        <v>0</v>
      </c>
      <c r="C282" s="169" t="s">
        <v>1</v>
      </c>
      <c r="D282" s="170" t="s">
        <v>2</v>
      </c>
      <c r="E282" s="171" t="s">
        <v>3</v>
      </c>
      <c r="F282" s="171"/>
      <c r="G282" s="171"/>
      <c r="H282" s="171" t="s">
        <v>4</v>
      </c>
      <c r="I282" s="99"/>
    </row>
    <row r="283" spans="1:9" s="24" customFormat="1" ht="38.25" customHeight="1">
      <c r="B283" s="169"/>
      <c r="C283" s="169"/>
      <c r="D283" s="170"/>
      <c r="E283" s="30" t="s">
        <v>5</v>
      </c>
      <c r="F283" s="30" t="s">
        <v>6</v>
      </c>
      <c r="G283" s="30" t="s">
        <v>7</v>
      </c>
      <c r="H283" s="171"/>
      <c r="I283" s="30" t="s">
        <v>8</v>
      </c>
    </row>
    <row r="284" spans="1:9" ht="18" customHeight="1">
      <c r="A284" s="29">
        <v>8</v>
      </c>
      <c r="B284" s="171" t="s">
        <v>172</v>
      </c>
      <c r="C284" s="171"/>
      <c r="D284" s="171"/>
      <c r="E284" s="171"/>
      <c r="F284" s="171"/>
      <c r="G284" s="171"/>
      <c r="H284" s="171"/>
      <c r="I284" s="171"/>
    </row>
    <row r="285" spans="1:9" ht="36" customHeight="1">
      <c r="A285" s="29">
        <v>8</v>
      </c>
      <c r="B285" s="30" t="s">
        <v>346</v>
      </c>
      <c r="C285" s="16" t="s">
        <v>126</v>
      </c>
      <c r="D285" s="66" t="s">
        <v>77</v>
      </c>
      <c r="E285" s="32">
        <v>6</v>
      </c>
      <c r="F285" s="32">
        <v>8</v>
      </c>
      <c r="G285" s="32">
        <v>36.4</v>
      </c>
      <c r="H285" s="32">
        <v>236</v>
      </c>
      <c r="I285" s="32">
        <v>0.51</v>
      </c>
    </row>
    <row r="286" spans="1:9" ht="18" customHeight="1">
      <c r="B286" s="71" t="s">
        <v>316</v>
      </c>
      <c r="C286" s="16" t="s">
        <v>63</v>
      </c>
      <c r="D286" s="52" t="s">
        <v>103</v>
      </c>
      <c r="E286" s="32">
        <v>5.08</v>
      </c>
      <c r="F286" s="32">
        <v>4.5999999999999996</v>
      </c>
      <c r="G286" s="32">
        <v>0.28000000000000003</v>
      </c>
      <c r="H286" s="32">
        <v>63</v>
      </c>
      <c r="I286" s="32">
        <v>0</v>
      </c>
    </row>
    <row r="287" spans="1:9" ht="18.600000000000001" customHeight="1">
      <c r="B287" s="71"/>
      <c r="C287" s="61" t="s">
        <v>79</v>
      </c>
      <c r="D287" s="52">
        <v>25</v>
      </c>
      <c r="E287" s="32">
        <v>1.7</v>
      </c>
      <c r="F287" s="32">
        <v>0.2</v>
      </c>
      <c r="G287" s="32">
        <v>11.7</v>
      </c>
      <c r="H287" s="32">
        <v>56</v>
      </c>
      <c r="I287" s="32">
        <v>0</v>
      </c>
    </row>
    <row r="288" spans="1:9" ht="18" customHeight="1">
      <c r="B288" s="132" t="s">
        <v>296</v>
      </c>
      <c r="C288" s="61" t="s">
        <v>80</v>
      </c>
      <c r="D288" s="31">
        <v>180</v>
      </c>
      <c r="E288" s="32">
        <v>2.85</v>
      </c>
      <c r="F288" s="32">
        <v>2.41</v>
      </c>
      <c r="G288" s="32">
        <v>11.37</v>
      </c>
      <c r="H288" s="32">
        <v>79.06</v>
      </c>
      <c r="I288" s="32">
        <v>1.17</v>
      </c>
    </row>
    <row r="289" spans="1:9" ht="18" customHeight="1">
      <c r="A289" s="29">
        <v>8</v>
      </c>
      <c r="B289" s="30"/>
      <c r="C289" s="111" t="s">
        <v>10</v>
      </c>
      <c r="D289" s="31">
        <v>456</v>
      </c>
      <c r="E289" s="46">
        <f>E285+E286+E287+E288</f>
        <v>15.629999999999999</v>
      </c>
      <c r="F289" s="46">
        <f t="shared" ref="F289:I289" si="31">F285+F286+F287+F288</f>
        <v>15.209999999999999</v>
      </c>
      <c r="G289" s="46">
        <f t="shared" si="31"/>
        <v>59.749999999999993</v>
      </c>
      <c r="H289" s="46">
        <f t="shared" si="31"/>
        <v>434.06</v>
      </c>
      <c r="I289" s="46">
        <f t="shared" si="31"/>
        <v>1.68</v>
      </c>
    </row>
    <row r="290" spans="1:9" s="62" customFormat="1" ht="18" customHeight="1">
      <c r="B290" s="167" t="s">
        <v>185</v>
      </c>
      <c r="C290" s="168"/>
      <c r="D290" s="168"/>
      <c r="E290" s="168"/>
      <c r="F290" s="168"/>
      <c r="G290" s="168"/>
      <c r="H290" s="168"/>
      <c r="I290" s="168"/>
    </row>
    <row r="291" spans="1:9" s="62" customFormat="1" ht="18" customHeight="1">
      <c r="B291" s="71" t="s">
        <v>297</v>
      </c>
      <c r="C291" s="61" t="s">
        <v>151</v>
      </c>
      <c r="D291" s="66">
        <v>180</v>
      </c>
      <c r="E291" s="32">
        <v>0.9</v>
      </c>
      <c r="F291" s="32">
        <v>0</v>
      </c>
      <c r="G291" s="32">
        <v>22.86</v>
      </c>
      <c r="H291" s="32">
        <v>95</v>
      </c>
      <c r="I291" s="32">
        <v>7.2</v>
      </c>
    </row>
    <row r="292" spans="1:9" s="62" customFormat="1" ht="18" customHeight="1">
      <c r="B292" s="71"/>
      <c r="C292" s="111" t="s">
        <v>10</v>
      </c>
      <c r="D292" s="72">
        <f>D291</f>
        <v>180</v>
      </c>
      <c r="E292" s="46">
        <f>E291</f>
        <v>0.9</v>
      </c>
      <c r="F292" s="46">
        <f t="shared" ref="F292:I292" si="32">F291</f>
        <v>0</v>
      </c>
      <c r="G292" s="46">
        <f t="shared" si="32"/>
        <v>22.86</v>
      </c>
      <c r="H292" s="46">
        <f t="shared" si="32"/>
        <v>95</v>
      </c>
      <c r="I292" s="46">
        <f t="shared" si="32"/>
        <v>7.2</v>
      </c>
    </row>
    <row r="293" spans="1:9" ht="18" customHeight="1">
      <c r="A293" s="29">
        <v>8</v>
      </c>
      <c r="B293" s="171" t="s">
        <v>202</v>
      </c>
      <c r="C293" s="171"/>
      <c r="D293" s="171"/>
      <c r="E293" s="171"/>
      <c r="F293" s="171"/>
      <c r="G293" s="171"/>
      <c r="H293" s="171"/>
      <c r="I293" s="171"/>
    </row>
    <row r="294" spans="1:9" ht="18" customHeight="1">
      <c r="B294" s="51" t="s">
        <v>318</v>
      </c>
      <c r="C294" s="16" t="s">
        <v>113</v>
      </c>
      <c r="D294" s="53">
        <v>50</v>
      </c>
      <c r="E294" s="33">
        <v>1.1000000000000001</v>
      </c>
      <c r="F294" s="65">
        <v>2.2999999999999998</v>
      </c>
      <c r="G294" s="65">
        <v>5.44</v>
      </c>
      <c r="H294" s="65">
        <v>46.85</v>
      </c>
      <c r="I294" s="65">
        <v>2.56</v>
      </c>
    </row>
    <row r="295" spans="1:9" ht="18" customHeight="1">
      <c r="A295" s="29">
        <v>8</v>
      </c>
      <c r="B295" s="132" t="s">
        <v>347</v>
      </c>
      <c r="C295" s="61" t="s">
        <v>234</v>
      </c>
      <c r="D295" s="66" t="s">
        <v>173</v>
      </c>
      <c r="E295" s="65">
        <v>1.45</v>
      </c>
      <c r="F295" s="65">
        <v>3.93</v>
      </c>
      <c r="G295" s="65">
        <v>10.19</v>
      </c>
      <c r="H295" s="65">
        <v>82</v>
      </c>
      <c r="I295" s="65">
        <v>8.23</v>
      </c>
    </row>
    <row r="296" spans="1:9" ht="18" customHeight="1">
      <c r="A296" s="29">
        <v>8</v>
      </c>
      <c r="B296" s="71" t="s">
        <v>348</v>
      </c>
      <c r="C296" s="16" t="s">
        <v>127</v>
      </c>
      <c r="D296" s="66">
        <v>80</v>
      </c>
      <c r="E296" s="65">
        <v>12.92</v>
      </c>
      <c r="F296" s="33">
        <v>11.85</v>
      </c>
      <c r="G296" s="33">
        <v>13.46</v>
      </c>
      <c r="H296" s="33">
        <v>212</v>
      </c>
      <c r="I296" s="33">
        <v>0.73</v>
      </c>
    </row>
    <row r="297" spans="1:9" ht="18" customHeight="1">
      <c r="A297" s="29">
        <v>8</v>
      </c>
      <c r="B297" s="71" t="s">
        <v>336</v>
      </c>
      <c r="C297" s="16" t="s">
        <v>106</v>
      </c>
      <c r="D297" s="31">
        <v>130</v>
      </c>
      <c r="E297" s="65">
        <v>1.95</v>
      </c>
      <c r="F297" s="65">
        <v>3.32</v>
      </c>
      <c r="G297" s="65">
        <v>20.190000000000001</v>
      </c>
      <c r="H297" s="65">
        <v>118.26</v>
      </c>
      <c r="I297" s="65">
        <v>0.93</v>
      </c>
    </row>
    <row r="298" spans="1:9" ht="21.75" customHeight="1">
      <c r="A298" s="29">
        <v>8</v>
      </c>
      <c r="B298" s="132" t="s">
        <v>349</v>
      </c>
      <c r="C298" s="61" t="s">
        <v>76</v>
      </c>
      <c r="D298" s="31">
        <v>170</v>
      </c>
      <c r="E298" s="65">
        <v>0</v>
      </c>
      <c r="F298" s="65">
        <v>0</v>
      </c>
      <c r="G298" s="65">
        <v>20.29</v>
      </c>
      <c r="H298" s="65">
        <v>79.33</v>
      </c>
      <c r="I298" s="65">
        <v>21.31</v>
      </c>
    </row>
    <row r="299" spans="1:9" ht="18" customHeight="1">
      <c r="A299" s="29">
        <v>8</v>
      </c>
      <c r="B299" s="71"/>
      <c r="C299" s="16" t="s">
        <v>12</v>
      </c>
      <c r="D299" s="31">
        <v>30</v>
      </c>
      <c r="E299" s="65">
        <v>2</v>
      </c>
      <c r="F299" s="65">
        <v>0.4</v>
      </c>
      <c r="G299" s="65">
        <v>10</v>
      </c>
      <c r="H299" s="65">
        <v>58</v>
      </c>
      <c r="I299" s="65">
        <v>0</v>
      </c>
    </row>
    <row r="300" spans="1:9" ht="18" customHeight="1">
      <c r="A300" s="29">
        <v>8</v>
      </c>
      <c r="B300" s="71"/>
      <c r="C300" s="16" t="s">
        <v>70</v>
      </c>
      <c r="D300" s="31">
        <v>20</v>
      </c>
      <c r="E300" s="65">
        <v>1.3</v>
      </c>
      <c r="F300" s="65">
        <v>0.1</v>
      </c>
      <c r="G300" s="65">
        <v>9.3000000000000007</v>
      </c>
      <c r="H300" s="65">
        <v>45</v>
      </c>
      <c r="I300" s="65">
        <v>0</v>
      </c>
    </row>
    <row r="301" spans="1:9" ht="18" customHeight="1">
      <c r="A301" s="29">
        <v>8</v>
      </c>
      <c r="B301" s="30"/>
      <c r="C301" s="30" t="s">
        <v>10</v>
      </c>
      <c r="D301" s="72">
        <v>691</v>
      </c>
      <c r="E301" s="30">
        <f>SUM(E294:E300)</f>
        <v>20.72</v>
      </c>
      <c r="F301" s="98">
        <f>SUM(F294:F300)</f>
        <v>21.9</v>
      </c>
      <c r="G301" s="98">
        <f>SUM(G294:G300)</f>
        <v>88.86999999999999</v>
      </c>
      <c r="H301" s="98">
        <f>SUM(H294:H300)</f>
        <v>641.44000000000005</v>
      </c>
      <c r="I301" s="98">
        <f>SUM(I294:I300)</f>
        <v>33.76</v>
      </c>
    </row>
    <row r="302" spans="1:9" ht="18" customHeight="1">
      <c r="A302" s="29">
        <v>8</v>
      </c>
      <c r="B302" s="171" t="s">
        <v>182</v>
      </c>
      <c r="C302" s="171"/>
      <c r="D302" s="171"/>
      <c r="E302" s="171"/>
      <c r="F302" s="171"/>
      <c r="G302" s="171"/>
      <c r="H302" s="171"/>
      <c r="I302" s="171"/>
    </row>
    <row r="303" spans="1:9" s="62" customFormat="1" ht="30.6" customHeight="1">
      <c r="B303" s="82" t="s">
        <v>350</v>
      </c>
      <c r="C303" s="61" t="s">
        <v>107</v>
      </c>
      <c r="D303" s="66">
        <v>50</v>
      </c>
      <c r="E303" s="65">
        <v>2.88</v>
      </c>
      <c r="F303" s="65">
        <v>1.24</v>
      </c>
      <c r="G303" s="65">
        <v>23.94</v>
      </c>
      <c r="H303" s="65">
        <v>118</v>
      </c>
      <c r="I303" s="65">
        <v>0.17</v>
      </c>
    </row>
    <row r="304" spans="1:9" s="62" customFormat="1" ht="18" customHeight="1">
      <c r="B304" s="82" t="s">
        <v>315</v>
      </c>
      <c r="C304" s="61" t="s">
        <v>100</v>
      </c>
      <c r="D304" s="66" t="s">
        <v>101</v>
      </c>
      <c r="E304" s="65">
        <v>0.01</v>
      </c>
      <c r="F304" s="65">
        <v>0.01</v>
      </c>
      <c r="G304" s="65">
        <v>5.99</v>
      </c>
      <c r="H304" s="65">
        <v>23.94</v>
      </c>
      <c r="I304" s="65">
        <v>0.02</v>
      </c>
    </row>
    <row r="305" spans="1:9" s="62" customFormat="1" ht="18" customHeight="1">
      <c r="B305" s="82"/>
      <c r="C305" s="111" t="s">
        <v>10</v>
      </c>
      <c r="D305" s="66">
        <v>236</v>
      </c>
      <c r="E305" s="82">
        <f>E303+E304</f>
        <v>2.8899999999999997</v>
      </c>
      <c r="F305" s="82">
        <f t="shared" ref="F305:I305" si="33">F303+F304</f>
        <v>1.25</v>
      </c>
      <c r="G305" s="82">
        <f t="shared" si="33"/>
        <v>29.93</v>
      </c>
      <c r="H305" s="82">
        <f t="shared" si="33"/>
        <v>141.94</v>
      </c>
      <c r="I305" s="82">
        <f t="shared" si="33"/>
        <v>0.19</v>
      </c>
    </row>
    <row r="306" spans="1:9" s="62" customFormat="1" ht="18" customHeight="1">
      <c r="B306" s="167" t="s">
        <v>201</v>
      </c>
      <c r="C306" s="168"/>
      <c r="D306" s="168"/>
      <c r="E306" s="168"/>
      <c r="F306" s="168"/>
      <c r="G306" s="168"/>
      <c r="H306" s="168"/>
      <c r="I306" s="168"/>
    </row>
    <row r="307" spans="1:9" s="62" customFormat="1" ht="18" customHeight="1">
      <c r="B307" s="71" t="s">
        <v>351</v>
      </c>
      <c r="C307" s="61" t="s">
        <v>128</v>
      </c>
      <c r="D307" s="66">
        <v>230</v>
      </c>
      <c r="E307" s="65">
        <v>11.37</v>
      </c>
      <c r="F307" s="65">
        <v>7.37</v>
      </c>
      <c r="G307" s="65">
        <v>20.88</v>
      </c>
      <c r="H307" s="65">
        <v>195</v>
      </c>
      <c r="I307" s="65">
        <v>9.24</v>
      </c>
    </row>
    <row r="308" spans="1:9" s="62" customFormat="1" ht="18" customHeight="1">
      <c r="B308" s="132" t="s">
        <v>310</v>
      </c>
      <c r="C308" s="61" t="s">
        <v>66</v>
      </c>
      <c r="D308" s="66">
        <v>50</v>
      </c>
      <c r="E308" s="65">
        <v>0.7</v>
      </c>
      <c r="F308" s="65">
        <v>2.54</v>
      </c>
      <c r="G308" s="65">
        <v>4.51</v>
      </c>
      <c r="H308" s="65">
        <v>43.7</v>
      </c>
      <c r="I308" s="65">
        <v>16.23</v>
      </c>
    </row>
    <row r="309" spans="1:9" s="60" customFormat="1" ht="21.6" customHeight="1">
      <c r="B309" s="108"/>
      <c r="C309" s="113" t="s">
        <v>12</v>
      </c>
      <c r="D309" s="114">
        <v>20</v>
      </c>
      <c r="E309" s="15">
        <v>1.3</v>
      </c>
      <c r="F309" s="15">
        <v>0.2</v>
      </c>
      <c r="G309" s="15">
        <v>6.7</v>
      </c>
      <c r="H309" s="15">
        <v>39</v>
      </c>
      <c r="I309" s="15">
        <v>0</v>
      </c>
    </row>
    <row r="310" spans="1:9" s="60" customFormat="1" ht="21.6" customHeight="1">
      <c r="B310" s="108"/>
      <c r="C310" s="113" t="s">
        <v>79</v>
      </c>
      <c r="D310" s="114">
        <v>20</v>
      </c>
      <c r="E310" s="15">
        <v>1.3</v>
      </c>
      <c r="F310" s="15">
        <v>0.1</v>
      </c>
      <c r="G310" s="15">
        <v>9.3000000000000007</v>
      </c>
      <c r="H310" s="15">
        <v>45</v>
      </c>
      <c r="I310" s="15">
        <v>0</v>
      </c>
    </row>
    <row r="311" spans="1:9" s="60" customFormat="1" ht="21.6" customHeight="1">
      <c r="B311" s="115" t="s">
        <v>308</v>
      </c>
      <c r="C311" s="113" t="s">
        <v>104</v>
      </c>
      <c r="D311" s="114">
        <v>180</v>
      </c>
      <c r="E311" s="15">
        <v>2.67</v>
      </c>
      <c r="F311" s="15">
        <v>2.34</v>
      </c>
      <c r="G311" s="15">
        <v>10.31</v>
      </c>
      <c r="H311" s="15">
        <v>73</v>
      </c>
      <c r="I311" s="15">
        <v>1.2</v>
      </c>
    </row>
    <row r="312" spans="1:9" ht="18" customHeight="1">
      <c r="A312" s="29">
        <v>8</v>
      </c>
      <c r="B312" s="30"/>
      <c r="C312" s="30" t="s">
        <v>10</v>
      </c>
      <c r="D312" s="31">
        <f t="shared" ref="D312:I312" si="34">SUM(D307:D311)</f>
        <v>500</v>
      </c>
      <c r="E312" s="30">
        <f t="shared" si="34"/>
        <v>17.34</v>
      </c>
      <c r="F312" s="109">
        <f t="shared" si="34"/>
        <v>12.549999999999999</v>
      </c>
      <c r="G312" s="109">
        <f t="shared" si="34"/>
        <v>51.7</v>
      </c>
      <c r="H312" s="109">
        <f t="shared" si="34"/>
        <v>395.7</v>
      </c>
      <c r="I312" s="109">
        <f t="shared" si="34"/>
        <v>26.669999999999998</v>
      </c>
    </row>
    <row r="313" spans="1:9" ht="18" customHeight="1">
      <c r="A313" s="29">
        <v>8</v>
      </c>
      <c r="B313" s="30"/>
      <c r="C313" s="30" t="s">
        <v>20</v>
      </c>
      <c r="D313" s="31">
        <f>D312+D305+D301+D292+D289</f>
        <v>2063</v>
      </c>
      <c r="E313" s="30">
        <f>E289+E301+E312+E305+E292</f>
        <v>57.48</v>
      </c>
      <c r="F313" s="82">
        <f>F289+F301+F312+F292+F305</f>
        <v>50.91</v>
      </c>
      <c r="G313" s="82">
        <f>G289+G301+G312+G292+G305</f>
        <v>253.11</v>
      </c>
      <c r="H313" s="82">
        <f>H289+H301+H312+H292+H305</f>
        <v>1708.14</v>
      </c>
      <c r="I313" s="82">
        <f>I289+I301+I312+I292+I305</f>
        <v>69.5</v>
      </c>
    </row>
    <row r="314" spans="1:9" s="62" customFormat="1" ht="20.100000000000001" customHeight="1">
      <c r="B314" s="120"/>
      <c r="C314" s="120" t="s">
        <v>136</v>
      </c>
      <c r="D314" s="121"/>
      <c r="E314" s="120">
        <v>54</v>
      </c>
      <c r="F314" s="120">
        <v>60</v>
      </c>
      <c r="G314" s="120">
        <v>261</v>
      </c>
      <c r="H314" s="120">
        <v>1800</v>
      </c>
      <c r="I314" s="120">
        <v>50</v>
      </c>
    </row>
    <row r="315" spans="1:9" s="62" customFormat="1" ht="20.100000000000001" customHeight="1">
      <c r="B315" s="122"/>
      <c r="C315" s="122" t="s">
        <v>137</v>
      </c>
      <c r="D315" s="123"/>
      <c r="E315" s="122">
        <f>ROUND(E313/E314*100-100,2)</f>
        <v>6.44</v>
      </c>
      <c r="F315" s="122">
        <f t="shared" ref="F315:I315" si="35">ROUND(F313/F314*100-100,2)</f>
        <v>-15.15</v>
      </c>
      <c r="G315" s="122">
        <f t="shared" si="35"/>
        <v>-3.02</v>
      </c>
      <c r="H315" s="122">
        <f t="shared" si="35"/>
        <v>-5.0999999999999996</v>
      </c>
      <c r="I315" s="122">
        <f t="shared" si="35"/>
        <v>39</v>
      </c>
    </row>
    <row r="316" spans="1:9" s="24" customFormat="1" ht="20.100000000000001" customHeight="1">
      <c r="B316" s="25" t="s">
        <v>186</v>
      </c>
      <c r="C316" s="26"/>
      <c r="D316" s="35"/>
      <c r="E316" s="36"/>
      <c r="F316" s="36"/>
      <c r="G316" s="36"/>
      <c r="H316" s="36"/>
      <c r="I316" s="36"/>
    </row>
    <row r="317" spans="1:9" s="24" customFormat="1" ht="20.100000000000001" customHeight="1">
      <c r="B317" s="25" t="s">
        <v>52</v>
      </c>
      <c r="C317" s="26"/>
      <c r="D317" s="35"/>
      <c r="E317" s="36"/>
      <c r="F317" s="36"/>
      <c r="G317" s="36"/>
      <c r="H317" s="36"/>
      <c r="I317" s="36"/>
    </row>
    <row r="318" spans="1:9" s="24" customFormat="1" ht="20.100000000000001" customHeight="1">
      <c r="B318" s="25" t="s">
        <v>144</v>
      </c>
      <c r="C318" s="26"/>
      <c r="D318" s="35"/>
      <c r="E318" s="36"/>
      <c r="F318" s="36"/>
      <c r="G318" s="36"/>
      <c r="H318" s="36"/>
      <c r="I318" s="36"/>
    </row>
    <row r="319" spans="1:9" s="24" customFormat="1">
      <c r="B319" s="25" t="s">
        <v>53</v>
      </c>
      <c r="C319" s="26"/>
      <c r="D319" s="27"/>
      <c r="E319" s="28"/>
      <c r="F319" s="28"/>
      <c r="G319" s="28"/>
      <c r="H319" s="28"/>
      <c r="I319" s="28"/>
    </row>
    <row r="320" spans="1:9" s="24" customFormat="1" ht="33.75" customHeight="1">
      <c r="B320" s="169" t="s">
        <v>0</v>
      </c>
      <c r="C320" s="169" t="s">
        <v>1</v>
      </c>
      <c r="D320" s="170" t="s">
        <v>2</v>
      </c>
      <c r="E320" s="171" t="s">
        <v>3</v>
      </c>
      <c r="F320" s="171"/>
      <c r="G320" s="171"/>
      <c r="H320" s="171" t="s">
        <v>4</v>
      </c>
      <c r="I320" s="99"/>
    </row>
    <row r="321" spans="1:9" s="24" customFormat="1" ht="41.25" customHeight="1">
      <c r="B321" s="169"/>
      <c r="C321" s="169"/>
      <c r="D321" s="170"/>
      <c r="E321" s="30" t="s">
        <v>5</v>
      </c>
      <c r="F321" s="30" t="s">
        <v>6</v>
      </c>
      <c r="G321" s="30" t="s">
        <v>7</v>
      </c>
      <c r="H321" s="171"/>
      <c r="I321" s="30" t="s">
        <v>8</v>
      </c>
    </row>
    <row r="322" spans="1:9" ht="18" customHeight="1">
      <c r="A322" s="29">
        <v>9</v>
      </c>
      <c r="B322" s="171" t="s">
        <v>282</v>
      </c>
      <c r="C322" s="171"/>
      <c r="D322" s="171"/>
      <c r="E322" s="171"/>
      <c r="F322" s="171"/>
      <c r="G322" s="171"/>
      <c r="H322" s="171"/>
      <c r="I322" s="171"/>
    </row>
    <row r="323" spans="1:9" ht="24.6" customHeight="1">
      <c r="B323" s="53" t="s">
        <v>293</v>
      </c>
      <c r="C323" s="16" t="s">
        <v>141</v>
      </c>
      <c r="D323" s="31" t="s">
        <v>77</v>
      </c>
      <c r="E323" s="32">
        <v>6.07</v>
      </c>
      <c r="F323" s="32">
        <v>7.09</v>
      </c>
      <c r="G323" s="32">
        <v>32.380000000000003</v>
      </c>
      <c r="H323" s="32">
        <v>218</v>
      </c>
      <c r="I323" s="32">
        <v>1.17</v>
      </c>
    </row>
    <row r="324" spans="1:9" ht="18" customHeight="1">
      <c r="B324" s="139" t="s">
        <v>208</v>
      </c>
      <c r="C324" s="61" t="s">
        <v>235</v>
      </c>
      <c r="D324" s="66">
        <v>15</v>
      </c>
      <c r="E324" s="32">
        <v>3.5</v>
      </c>
      <c r="F324" s="32">
        <v>4.5</v>
      </c>
      <c r="G324" s="32">
        <v>0</v>
      </c>
      <c r="H324" s="32">
        <v>56</v>
      </c>
      <c r="I324" s="32">
        <v>0</v>
      </c>
    </row>
    <row r="325" spans="1:9" ht="19.149999999999999" customHeight="1">
      <c r="B325" s="71"/>
      <c r="C325" s="16" t="s">
        <v>79</v>
      </c>
      <c r="D325" s="31">
        <v>25</v>
      </c>
      <c r="E325" s="32">
        <v>1.7</v>
      </c>
      <c r="F325" s="32">
        <v>0.2</v>
      </c>
      <c r="G325" s="32">
        <v>11.7</v>
      </c>
      <c r="H325" s="32">
        <v>56</v>
      </c>
      <c r="I325" s="32">
        <v>0</v>
      </c>
    </row>
    <row r="326" spans="1:9" ht="18" customHeight="1">
      <c r="A326" s="29">
        <v>9</v>
      </c>
      <c r="B326" s="134" t="s">
        <v>308</v>
      </c>
      <c r="C326" s="61" t="s">
        <v>104</v>
      </c>
      <c r="D326" s="31">
        <v>180</v>
      </c>
      <c r="E326" s="32">
        <v>2.67</v>
      </c>
      <c r="F326" s="32">
        <v>2.34</v>
      </c>
      <c r="G326" s="32">
        <v>10.31</v>
      </c>
      <c r="H326" s="32">
        <v>73</v>
      </c>
      <c r="I326" s="32">
        <v>1.2</v>
      </c>
    </row>
    <row r="327" spans="1:9" ht="18" customHeight="1">
      <c r="A327" s="29">
        <v>9</v>
      </c>
      <c r="B327" s="30"/>
      <c r="C327" s="71" t="s">
        <v>10</v>
      </c>
      <c r="D327" s="31">
        <v>425</v>
      </c>
      <c r="E327" s="46">
        <f>SUM(E323:E326)</f>
        <v>13.94</v>
      </c>
      <c r="F327" s="46">
        <f>SUM(F323:F326)</f>
        <v>14.129999999999999</v>
      </c>
      <c r="G327" s="46">
        <f>SUM(G323:G326)</f>
        <v>54.39</v>
      </c>
      <c r="H327" s="46">
        <f>SUM(H323:H326)</f>
        <v>403</v>
      </c>
      <c r="I327" s="46">
        <f>SUM(I323:I326)</f>
        <v>2.37</v>
      </c>
    </row>
    <row r="328" spans="1:9" s="62" customFormat="1" ht="18" customHeight="1">
      <c r="B328" s="167" t="s">
        <v>283</v>
      </c>
      <c r="C328" s="168"/>
      <c r="D328" s="168"/>
      <c r="E328" s="168"/>
      <c r="F328" s="168"/>
      <c r="G328" s="168"/>
      <c r="H328" s="168"/>
      <c r="I328" s="168"/>
    </row>
    <row r="329" spans="1:9" s="62" customFormat="1" ht="18" customHeight="1">
      <c r="B329" s="71" t="s">
        <v>309</v>
      </c>
      <c r="C329" s="61" t="s">
        <v>65</v>
      </c>
      <c r="D329" s="72">
        <v>100</v>
      </c>
      <c r="E329" s="32">
        <v>0.4</v>
      </c>
      <c r="F329" s="32">
        <v>0.4</v>
      </c>
      <c r="G329" s="32">
        <v>9.8000000000000007</v>
      </c>
      <c r="H329" s="32">
        <v>44</v>
      </c>
      <c r="I329" s="32">
        <v>10</v>
      </c>
    </row>
    <row r="330" spans="1:9" s="62" customFormat="1" ht="18" customHeight="1">
      <c r="B330" s="71"/>
      <c r="C330" s="71" t="s">
        <v>10</v>
      </c>
      <c r="D330" s="72">
        <f>D329</f>
        <v>100</v>
      </c>
      <c r="E330" s="46">
        <f>E329</f>
        <v>0.4</v>
      </c>
      <c r="F330" s="46">
        <f t="shared" ref="F330:I330" si="36">F329</f>
        <v>0.4</v>
      </c>
      <c r="G330" s="46">
        <f t="shared" si="36"/>
        <v>9.8000000000000007</v>
      </c>
      <c r="H330" s="46">
        <f t="shared" si="36"/>
        <v>44</v>
      </c>
      <c r="I330" s="46">
        <f t="shared" si="36"/>
        <v>10</v>
      </c>
    </row>
    <row r="331" spans="1:9" s="62" customFormat="1" ht="18" customHeight="1">
      <c r="A331" s="62">
        <v>9</v>
      </c>
      <c r="B331" s="167" t="s">
        <v>292</v>
      </c>
      <c r="C331" s="168"/>
      <c r="D331" s="168"/>
      <c r="E331" s="168"/>
      <c r="F331" s="168"/>
      <c r="G331" s="168"/>
      <c r="H331" s="168"/>
      <c r="I331" s="168"/>
    </row>
    <row r="332" spans="1:9" ht="18" customHeight="1">
      <c r="A332" s="29">
        <v>9</v>
      </c>
      <c r="B332" s="147" t="s">
        <v>233</v>
      </c>
      <c r="C332" s="61" t="s">
        <v>99</v>
      </c>
      <c r="D332" s="31">
        <v>50</v>
      </c>
      <c r="E332" s="33">
        <v>0.6</v>
      </c>
      <c r="F332" s="65">
        <v>2.37</v>
      </c>
      <c r="G332" s="65">
        <v>3.85</v>
      </c>
      <c r="H332" s="65">
        <v>38.75</v>
      </c>
      <c r="I332" s="65">
        <v>3.75</v>
      </c>
    </row>
    <row r="333" spans="1:9" ht="18" customHeight="1">
      <c r="B333" s="71" t="s">
        <v>352</v>
      </c>
      <c r="C333" s="61" t="s">
        <v>188</v>
      </c>
      <c r="D333" s="66">
        <v>250</v>
      </c>
      <c r="E333" s="65">
        <v>5.49</v>
      </c>
      <c r="F333" s="65">
        <v>5.27</v>
      </c>
      <c r="G333" s="65">
        <v>16.32</v>
      </c>
      <c r="H333" s="65">
        <v>134.75</v>
      </c>
      <c r="I333" s="65">
        <v>5.81</v>
      </c>
    </row>
    <row r="334" spans="1:9" ht="18" customHeight="1">
      <c r="B334" s="71" t="s">
        <v>300</v>
      </c>
      <c r="C334" s="61" t="s">
        <v>129</v>
      </c>
      <c r="D334" s="31">
        <v>80</v>
      </c>
      <c r="E334" s="65">
        <v>12.44</v>
      </c>
      <c r="F334" s="65">
        <v>9.24</v>
      </c>
      <c r="G334" s="65">
        <v>12.56</v>
      </c>
      <c r="H334" s="65">
        <v>183</v>
      </c>
      <c r="I334" s="65">
        <v>0.12</v>
      </c>
    </row>
    <row r="335" spans="1:9" ht="18" customHeight="1">
      <c r="B335" s="164" t="s">
        <v>301</v>
      </c>
      <c r="C335" s="61" t="s">
        <v>224</v>
      </c>
      <c r="D335" s="72">
        <v>140</v>
      </c>
      <c r="E335" s="65">
        <v>5.15</v>
      </c>
      <c r="F335" s="65">
        <v>4.2</v>
      </c>
      <c r="G335" s="65">
        <v>24.6</v>
      </c>
      <c r="H335" s="65">
        <v>157.22</v>
      </c>
      <c r="I335" s="65">
        <v>0</v>
      </c>
    </row>
    <row r="336" spans="1:9" ht="18" customHeight="1">
      <c r="A336" s="29">
        <v>9</v>
      </c>
      <c r="B336" s="134" t="s">
        <v>307</v>
      </c>
      <c r="C336" s="61" t="s">
        <v>26</v>
      </c>
      <c r="D336" s="72">
        <v>200</v>
      </c>
      <c r="E336" s="65">
        <v>0.2</v>
      </c>
      <c r="F336" s="65">
        <v>0.1</v>
      </c>
      <c r="G336" s="65">
        <v>12.21</v>
      </c>
      <c r="H336" s="65">
        <v>49</v>
      </c>
      <c r="I336" s="65">
        <v>1.6</v>
      </c>
    </row>
    <row r="337" spans="1:9" ht="18" customHeight="1">
      <c r="B337" s="71"/>
      <c r="C337" s="61" t="s">
        <v>12</v>
      </c>
      <c r="D337" s="72">
        <v>30</v>
      </c>
      <c r="E337" s="65">
        <v>2</v>
      </c>
      <c r="F337" s="65">
        <v>0.4</v>
      </c>
      <c r="G337" s="65">
        <v>10</v>
      </c>
      <c r="H337" s="65">
        <v>58</v>
      </c>
      <c r="I337" s="65">
        <v>0</v>
      </c>
    </row>
    <row r="338" spans="1:9" ht="18" customHeight="1">
      <c r="B338" s="71"/>
      <c r="C338" s="61" t="s">
        <v>70</v>
      </c>
      <c r="D338" s="31">
        <v>15</v>
      </c>
      <c r="E338" s="65">
        <v>1</v>
      </c>
      <c r="F338" s="65">
        <v>0.1</v>
      </c>
      <c r="G338" s="65">
        <v>7</v>
      </c>
      <c r="H338" s="65">
        <v>34</v>
      </c>
      <c r="I338" s="65">
        <v>0</v>
      </c>
    </row>
    <row r="339" spans="1:9" ht="18" customHeight="1">
      <c r="A339" s="29">
        <v>9</v>
      </c>
      <c r="B339" s="30"/>
      <c r="C339" s="88" t="s">
        <v>10</v>
      </c>
      <c r="D339" s="31">
        <f t="shared" ref="D339:I339" si="37">SUM(D332:D338)</f>
        <v>765</v>
      </c>
      <c r="E339" s="71">
        <f t="shared" si="37"/>
        <v>26.88</v>
      </c>
      <c r="F339" s="71">
        <f t="shared" si="37"/>
        <v>21.68</v>
      </c>
      <c r="G339" s="71">
        <f t="shared" si="37"/>
        <v>86.54</v>
      </c>
      <c r="H339" s="71">
        <f t="shared" si="37"/>
        <v>654.72</v>
      </c>
      <c r="I339" s="71">
        <f t="shared" si="37"/>
        <v>11.279999999999998</v>
      </c>
    </row>
    <row r="340" spans="1:9" ht="18" customHeight="1">
      <c r="B340" s="171" t="s">
        <v>284</v>
      </c>
      <c r="C340" s="171"/>
      <c r="D340" s="171"/>
      <c r="E340" s="171"/>
      <c r="F340" s="171"/>
      <c r="G340" s="171"/>
      <c r="H340" s="171"/>
      <c r="I340" s="171"/>
    </row>
    <row r="341" spans="1:9" s="62" customFormat="1" ht="18" customHeight="1">
      <c r="B341" s="82" t="s">
        <v>353</v>
      </c>
      <c r="C341" s="61" t="s">
        <v>61</v>
      </c>
      <c r="D341" s="66">
        <v>50</v>
      </c>
      <c r="E341" s="65">
        <v>3.88</v>
      </c>
      <c r="F341" s="65">
        <v>2.36</v>
      </c>
      <c r="G341" s="65">
        <v>26.15</v>
      </c>
      <c r="H341" s="65">
        <v>141</v>
      </c>
      <c r="I341" s="65">
        <v>0</v>
      </c>
    </row>
    <row r="342" spans="1:9" s="62" customFormat="1" ht="18" customHeight="1">
      <c r="B342" s="82" t="s">
        <v>305</v>
      </c>
      <c r="C342" s="61" t="s">
        <v>73</v>
      </c>
      <c r="D342" s="66">
        <v>200</v>
      </c>
      <c r="E342" s="65">
        <v>6.09</v>
      </c>
      <c r="F342" s="65">
        <v>5.42</v>
      </c>
      <c r="G342" s="65">
        <v>10.08</v>
      </c>
      <c r="H342" s="65">
        <v>113.3</v>
      </c>
      <c r="I342" s="65">
        <v>2.73</v>
      </c>
    </row>
    <row r="343" spans="1:9" s="62" customFormat="1" ht="18" customHeight="1">
      <c r="B343" s="82"/>
      <c r="C343" s="82" t="s">
        <v>10</v>
      </c>
      <c r="D343" s="66">
        <v>250</v>
      </c>
      <c r="E343" s="82">
        <f>E341+E342</f>
        <v>9.9699999999999989</v>
      </c>
      <c r="F343" s="82">
        <f t="shared" ref="F343:I343" si="38">F341+F342</f>
        <v>7.7799999999999994</v>
      </c>
      <c r="G343" s="82">
        <f t="shared" si="38"/>
        <v>36.229999999999997</v>
      </c>
      <c r="H343" s="82">
        <f t="shared" si="38"/>
        <v>254.3</v>
      </c>
      <c r="I343" s="82">
        <f t="shared" si="38"/>
        <v>2.73</v>
      </c>
    </row>
    <row r="344" spans="1:9" s="62" customFormat="1" ht="18" customHeight="1">
      <c r="B344" s="167" t="s">
        <v>285</v>
      </c>
      <c r="C344" s="168"/>
      <c r="D344" s="168"/>
      <c r="E344" s="168"/>
      <c r="F344" s="168"/>
      <c r="G344" s="168"/>
      <c r="H344" s="168"/>
      <c r="I344" s="168"/>
    </row>
    <row r="345" spans="1:9" ht="18" customHeight="1">
      <c r="B345" s="136" t="s">
        <v>354</v>
      </c>
      <c r="C345" s="61" t="s">
        <v>225</v>
      </c>
      <c r="D345" s="66" t="s">
        <v>226</v>
      </c>
      <c r="E345" s="65">
        <v>9</v>
      </c>
      <c r="F345" s="65">
        <v>5.0999999999999996</v>
      </c>
      <c r="G345" s="65">
        <v>2.5</v>
      </c>
      <c r="H345" s="65">
        <v>92.2</v>
      </c>
      <c r="I345" s="65">
        <v>2</v>
      </c>
    </row>
    <row r="346" spans="1:9" s="62" customFormat="1" ht="18" customHeight="1">
      <c r="B346" s="146" t="s">
        <v>236</v>
      </c>
      <c r="C346" s="61" t="s">
        <v>230</v>
      </c>
      <c r="D346" s="66">
        <v>70</v>
      </c>
      <c r="E346" s="65">
        <v>2.1</v>
      </c>
      <c r="F346" s="65">
        <v>2.2999999999999998</v>
      </c>
      <c r="G346" s="65">
        <v>13</v>
      </c>
      <c r="H346" s="65">
        <v>85</v>
      </c>
      <c r="I346" s="65">
        <v>5.8</v>
      </c>
    </row>
    <row r="347" spans="1:9" ht="18" customHeight="1">
      <c r="B347" s="138" t="s">
        <v>341</v>
      </c>
      <c r="C347" s="61" t="s">
        <v>370</v>
      </c>
      <c r="D347" s="31">
        <v>50</v>
      </c>
      <c r="E347" s="65">
        <v>0.71</v>
      </c>
      <c r="F347" s="65">
        <v>3.04</v>
      </c>
      <c r="G347" s="65">
        <v>4.18</v>
      </c>
      <c r="H347" s="65">
        <v>46.95</v>
      </c>
      <c r="I347" s="65">
        <v>4.75</v>
      </c>
    </row>
    <row r="348" spans="1:9" s="62" customFormat="1" ht="18" customHeight="1">
      <c r="B348" s="111"/>
      <c r="C348" s="61" t="s">
        <v>12</v>
      </c>
      <c r="D348" s="112">
        <v>20</v>
      </c>
      <c r="E348" s="65">
        <v>1.3</v>
      </c>
      <c r="F348" s="65">
        <v>0.2</v>
      </c>
      <c r="G348" s="65">
        <v>6.7</v>
      </c>
      <c r="H348" s="65">
        <v>39</v>
      </c>
      <c r="I348" s="65">
        <v>0</v>
      </c>
    </row>
    <row r="349" spans="1:9" s="62" customFormat="1" ht="18" customHeight="1">
      <c r="B349" s="111"/>
      <c r="C349" s="61" t="s">
        <v>79</v>
      </c>
      <c r="D349" s="112">
        <v>25</v>
      </c>
      <c r="E349" s="65">
        <v>1.7</v>
      </c>
      <c r="F349" s="65">
        <v>0.2</v>
      </c>
      <c r="G349" s="65">
        <v>11.7</v>
      </c>
      <c r="H349" s="65">
        <v>56</v>
      </c>
      <c r="I349" s="65">
        <v>0</v>
      </c>
    </row>
    <row r="350" spans="1:9" s="62" customFormat="1" ht="18" customHeight="1">
      <c r="B350" s="111" t="s">
        <v>315</v>
      </c>
      <c r="C350" s="61" t="s">
        <v>100</v>
      </c>
      <c r="D350" s="112" t="s">
        <v>101</v>
      </c>
      <c r="E350" s="65">
        <v>0.01</v>
      </c>
      <c r="F350" s="65">
        <v>0.01</v>
      </c>
      <c r="G350" s="65">
        <v>5.99</v>
      </c>
      <c r="H350" s="65">
        <v>23.94</v>
      </c>
      <c r="I350" s="65">
        <v>0.02</v>
      </c>
    </row>
    <row r="351" spans="1:9" s="62" customFormat="1" ht="18" customHeight="1">
      <c r="B351" s="111"/>
      <c r="C351" s="111" t="s">
        <v>10</v>
      </c>
      <c r="D351" s="112">
        <v>481</v>
      </c>
      <c r="E351" s="111">
        <f>SUM(E345:E350)</f>
        <v>14.819999999999999</v>
      </c>
      <c r="F351" s="111">
        <f>SUM(F345:F350)</f>
        <v>10.849999999999998</v>
      </c>
      <c r="G351" s="111">
        <f>SUM(G345:G350)</f>
        <v>44.07</v>
      </c>
      <c r="H351" s="111">
        <f>SUM(H345:H350)</f>
        <v>343.09</v>
      </c>
      <c r="I351" s="111">
        <f>SUM(I345:I350)</f>
        <v>12.57</v>
      </c>
    </row>
    <row r="352" spans="1:9" ht="18" customHeight="1">
      <c r="A352" s="29">
        <v>9</v>
      </c>
      <c r="B352" s="30"/>
      <c r="C352" s="71" t="s">
        <v>21</v>
      </c>
      <c r="D352" s="31">
        <f>D327+D330+D339+D351+D343</f>
        <v>2021</v>
      </c>
      <c r="E352" s="71">
        <f t="shared" ref="E352:I352" si="39">E327+E330+E339+E351+E343</f>
        <v>66.009999999999991</v>
      </c>
      <c r="F352" s="111">
        <f t="shared" si="39"/>
        <v>54.84</v>
      </c>
      <c r="G352" s="111">
        <f t="shared" si="39"/>
        <v>231.03</v>
      </c>
      <c r="H352" s="111">
        <f t="shared" si="39"/>
        <v>1699.11</v>
      </c>
      <c r="I352" s="111">
        <f t="shared" si="39"/>
        <v>38.949999999999996</v>
      </c>
    </row>
    <row r="353" spans="1:9" s="62" customFormat="1" ht="20.100000000000001" customHeight="1">
      <c r="B353" s="120"/>
      <c r="C353" s="120" t="s">
        <v>136</v>
      </c>
      <c r="D353" s="121"/>
      <c r="E353" s="120">
        <v>54</v>
      </c>
      <c r="F353" s="120">
        <v>60</v>
      </c>
      <c r="G353" s="120">
        <v>261</v>
      </c>
      <c r="H353" s="120">
        <v>1800</v>
      </c>
      <c r="I353" s="120">
        <v>50</v>
      </c>
    </row>
    <row r="354" spans="1:9" s="62" customFormat="1" ht="20.100000000000001" customHeight="1">
      <c r="B354" s="122"/>
      <c r="C354" s="122" t="s">
        <v>137</v>
      </c>
      <c r="D354" s="123"/>
      <c r="E354" s="122">
        <f>ROUND(E352/E353*100-100,2)</f>
        <v>22.24</v>
      </c>
      <c r="F354" s="122">
        <f t="shared" ref="F354:I354" si="40">ROUND(F352/F353*100-100,2)</f>
        <v>-8.6</v>
      </c>
      <c r="G354" s="122">
        <f t="shared" si="40"/>
        <v>-11.48</v>
      </c>
      <c r="H354" s="122">
        <f t="shared" si="40"/>
        <v>-5.61</v>
      </c>
      <c r="I354" s="122">
        <f t="shared" si="40"/>
        <v>-22.1</v>
      </c>
    </row>
    <row r="355" spans="1:9" s="24" customFormat="1" ht="20.100000000000001" customHeight="1">
      <c r="B355" s="25" t="s">
        <v>189</v>
      </c>
      <c r="C355" s="26"/>
      <c r="D355" s="35"/>
      <c r="E355" s="36"/>
      <c r="F355" s="36"/>
      <c r="G355" s="36"/>
      <c r="H355" s="36"/>
      <c r="I355" s="36"/>
    </row>
    <row r="356" spans="1:9" s="24" customFormat="1" ht="20.100000000000001" customHeight="1">
      <c r="B356" s="25" t="s">
        <v>52</v>
      </c>
      <c r="C356" s="26"/>
      <c r="D356" s="35"/>
      <c r="E356" s="36"/>
      <c r="F356" s="36"/>
      <c r="G356" s="36"/>
      <c r="H356" s="36"/>
      <c r="I356" s="36"/>
    </row>
    <row r="357" spans="1:9" s="24" customFormat="1" ht="20.100000000000001" customHeight="1">
      <c r="B357" s="25" t="s">
        <v>144</v>
      </c>
      <c r="C357" s="26"/>
      <c r="D357" s="35"/>
      <c r="E357" s="36"/>
      <c r="F357" s="36"/>
      <c r="G357" s="36"/>
      <c r="H357" s="36"/>
      <c r="I357" s="36"/>
    </row>
    <row r="358" spans="1:9" s="24" customFormat="1" ht="15" customHeight="1">
      <c r="B358" s="25" t="s">
        <v>53</v>
      </c>
      <c r="C358" s="26"/>
      <c r="D358" s="27"/>
      <c r="E358" s="28"/>
      <c r="F358" s="28"/>
      <c r="G358" s="28"/>
      <c r="H358" s="28"/>
      <c r="I358" s="28"/>
    </row>
    <row r="359" spans="1:9" s="24" customFormat="1" ht="20.100000000000001" hidden="1" customHeight="1">
      <c r="B359" s="34"/>
      <c r="C359" s="34"/>
      <c r="D359" s="35"/>
      <c r="E359" s="36"/>
      <c r="F359" s="36"/>
      <c r="G359" s="36"/>
      <c r="H359" s="36"/>
      <c r="I359" s="36"/>
    </row>
    <row r="360" spans="1:9" s="24" customFormat="1" ht="37.5" customHeight="1">
      <c r="B360" s="169" t="s">
        <v>0</v>
      </c>
      <c r="C360" s="169" t="s">
        <v>1</v>
      </c>
      <c r="D360" s="170" t="s">
        <v>2</v>
      </c>
      <c r="E360" s="171" t="s">
        <v>3</v>
      </c>
      <c r="F360" s="171"/>
      <c r="G360" s="171"/>
      <c r="H360" s="171" t="s">
        <v>4</v>
      </c>
      <c r="I360" s="99"/>
    </row>
    <row r="361" spans="1:9" s="24" customFormat="1" ht="42.75" customHeight="1">
      <c r="B361" s="169"/>
      <c r="C361" s="169"/>
      <c r="D361" s="170"/>
      <c r="E361" s="30" t="s">
        <v>5</v>
      </c>
      <c r="F361" s="30" t="s">
        <v>6</v>
      </c>
      <c r="G361" s="30" t="s">
        <v>7</v>
      </c>
      <c r="H361" s="171"/>
      <c r="I361" s="30" t="s">
        <v>8</v>
      </c>
    </row>
    <row r="362" spans="1:9" ht="18" customHeight="1">
      <c r="A362" s="29">
        <v>10</v>
      </c>
      <c r="B362" s="171" t="s">
        <v>191</v>
      </c>
      <c r="C362" s="171"/>
      <c r="D362" s="171"/>
      <c r="E362" s="171"/>
      <c r="F362" s="171"/>
      <c r="G362" s="171"/>
      <c r="H362" s="174"/>
      <c r="I362" s="174"/>
    </row>
    <row r="363" spans="1:9" ht="31.15" customHeight="1">
      <c r="A363" s="29">
        <v>10</v>
      </c>
      <c r="B363" s="47" t="s">
        <v>355</v>
      </c>
      <c r="C363" s="16" t="s">
        <v>115</v>
      </c>
      <c r="D363" s="66" t="s">
        <v>77</v>
      </c>
      <c r="E363" s="48">
        <v>5.0599999999999996</v>
      </c>
      <c r="F363" s="48">
        <v>7.09</v>
      </c>
      <c r="G363" s="48">
        <v>33.42</v>
      </c>
      <c r="H363" s="48">
        <v>218</v>
      </c>
      <c r="I363" s="48">
        <v>1.17</v>
      </c>
    </row>
    <row r="364" spans="1:9" ht="18" customHeight="1">
      <c r="B364" s="141" t="s">
        <v>328</v>
      </c>
      <c r="C364" s="61" t="s">
        <v>116</v>
      </c>
      <c r="D364" s="56">
        <v>80</v>
      </c>
      <c r="E364" s="48">
        <v>6.18</v>
      </c>
      <c r="F364" s="48">
        <v>7.94</v>
      </c>
      <c r="G364" s="48">
        <v>2.93</v>
      </c>
      <c r="H364" s="48">
        <v>108</v>
      </c>
      <c r="I364" s="48">
        <v>1.03</v>
      </c>
    </row>
    <row r="365" spans="1:9" ht="18" customHeight="1">
      <c r="B365" s="47"/>
      <c r="C365" s="16" t="s">
        <v>79</v>
      </c>
      <c r="D365" s="56">
        <v>25</v>
      </c>
      <c r="E365" s="48">
        <v>1.7</v>
      </c>
      <c r="F365" s="48">
        <v>0.2</v>
      </c>
      <c r="G365" s="48">
        <v>11.7</v>
      </c>
      <c r="H365" s="48">
        <v>56</v>
      </c>
      <c r="I365" s="48">
        <v>0</v>
      </c>
    </row>
    <row r="366" spans="1:9" ht="18" customHeight="1">
      <c r="A366" s="29">
        <v>10</v>
      </c>
      <c r="B366" s="47" t="s">
        <v>315</v>
      </c>
      <c r="C366" s="16" t="s">
        <v>100</v>
      </c>
      <c r="D366" s="31" t="s">
        <v>101</v>
      </c>
      <c r="E366" s="48">
        <v>0.01</v>
      </c>
      <c r="F366" s="48">
        <v>0.01</v>
      </c>
      <c r="G366" s="48">
        <v>5.99</v>
      </c>
      <c r="H366" s="48">
        <v>23.94</v>
      </c>
      <c r="I366" s="48">
        <v>0.02</v>
      </c>
    </row>
    <row r="367" spans="1:9" s="62" customFormat="1" ht="18" customHeight="1">
      <c r="A367" s="62">
        <v>10</v>
      </c>
      <c r="B367" s="71"/>
      <c r="C367" s="71" t="s">
        <v>10</v>
      </c>
      <c r="D367" s="72">
        <v>496</v>
      </c>
      <c r="E367" s="71">
        <f>E363+E364+E365+E366</f>
        <v>12.949999999999998</v>
      </c>
      <c r="F367" s="71">
        <f t="shared" ref="F367:I367" si="41">F363+F364+F365+F366</f>
        <v>15.24</v>
      </c>
      <c r="G367" s="71">
        <f t="shared" si="41"/>
        <v>54.04</v>
      </c>
      <c r="H367" s="71">
        <f t="shared" si="41"/>
        <v>405.94</v>
      </c>
      <c r="I367" s="71">
        <f t="shared" si="41"/>
        <v>2.2200000000000002</v>
      </c>
    </row>
    <row r="368" spans="1:9" s="62" customFormat="1" ht="18" customHeight="1">
      <c r="B368" s="167" t="s">
        <v>227</v>
      </c>
      <c r="C368" s="168"/>
      <c r="D368" s="168"/>
      <c r="E368" s="168"/>
      <c r="F368" s="168"/>
      <c r="G368" s="168"/>
      <c r="H368" s="168"/>
      <c r="I368" s="168"/>
    </row>
    <row r="369" spans="1:9" s="62" customFormat="1" ht="18" customHeight="1">
      <c r="B369" s="47" t="s">
        <v>297</v>
      </c>
      <c r="C369" s="61" t="s">
        <v>81</v>
      </c>
      <c r="D369" s="72">
        <v>150</v>
      </c>
      <c r="E369" s="48">
        <v>0.75</v>
      </c>
      <c r="F369" s="48">
        <v>0</v>
      </c>
      <c r="G369" s="48">
        <v>15.15</v>
      </c>
      <c r="H369" s="48">
        <v>64</v>
      </c>
      <c r="I369" s="48">
        <v>3</v>
      </c>
    </row>
    <row r="370" spans="1:9" s="62" customFormat="1" ht="18" customHeight="1">
      <c r="B370" s="47"/>
      <c r="C370" s="71" t="s">
        <v>10</v>
      </c>
      <c r="D370" s="72">
        <f>D369</f>
        <v>150</v>
      </c>
      <c r="E370" s="71">
        <f>E369</f>
        <v>0.75</v>
      </c>
      <c r="F370" s="111">
        <f t="shared" ref="F370:I370" si="42">F369</f>
        <v>0</v>
      </c>
      <c r="G370" s="111">
        <f t="shared" si="42"/>
        <v>15.15</v>
      </c>
      <c r="H370" s="111">
        <f t="shared" si="42"/>
        <v>64</v>
      </c>
      <c r="I370" s="111">
        <f t="shared" si="42"/>
        <v>3</v>
      </c>
    </row>
    <row r="371" spans="1:9" ht="18" customHeight="1">
      <c r="A371" s="29">
        <v>10</v>
      </c>
      <c r="B371" s="171" t="s">
        <v>228</v>
      </c>
      <c r="C371" s="171"/>
      <c r="D371" s="171"/>
      <c r="E371" s="171"/>
      <c r="F371" s="171"/>
      <c r="G371" s="171"/>
      <c r="H371" s="171"/>
      <c r="I371" s="171"/>
    </row>
    <row r="372" spans="1:9" ht="18" customHeight="1">
      <c r="A372" s="29">
        <v>10</v>
      </c>
      <c r="B372" s="135" t="s">
        <v>318</v>
      </c>
      <c r="C372" s="61" t="s">
        <v>118</v>
      </c>
      <c r="D372" s="31">
        <v>50</v>
      </c>
      <c r="E372" s="48">
        <v>1.17</v>
      </c>
      <c r="F372" s="48">
        <v>2.2999999999999998</v>
      </c>
      <c r="G372" s="48">
        <v>6.17</v>
      </c>
      <c r="H372" s="48">
        <v>50.1</v>
      </c>
      <c r="I372" s="48">
        <v>3.36</v>
      </c>
    </row>
    <row r="373" spans="1:9" ht="18" customHeight="1">
      <c r="B373" s="71" t="s">
        <v>356</v>
      </c>
      <c r="C373" s="61" t="s">
        <v>131</v>
      </c>
      <c r="D373" s="31" t="s">
        <v>132</v>
      </c>
      <c r="E373" s="48">
        <v>5.61</v>
      </c>
      <c r="F373" s="48">
        <v>3.03</v>
      </c>
      <c r="G373" s="48">
        <v>15.67</v>
      </c>
      <c r="H373" s="48">
        <v>112.25</v>
      </c>
      <c r="I373" s="48">
        <v>11.19</v>
      </c>
    </row>
    <row r="374" spans="1:9" ht="18" customHeight="1">
      <c r="A374" s="29">
        <v>10</v>
      </c>
      <c r="B374" s="111" t="s">
        <v>348</v>
      </c>
      <c r="C374" s="61" t="s">
        <v>133</v>
      </c>
      <c r="D374" s="31">
        <v>80</v>
      </c>
      <c r="E374" s="48">
        <v>12.92</v>
      </c>
      <c r="F374" s="48">
        <v>11.85</v>
      </c>
      <c r="G374" s="48">
        <v>13.46</v>
      </c>
      <c r="H374" s="48">
        <v>212</v>
      </c>
      <c r="I374" s="48">
        <v>0.73</v>
      </c>
    </row>
    <row r="375" spans="1:9" s="62" customFormat="1" ht="18" customHeight="1">
      <c r="B375" s="139" t="s">
        <v>91</v>
      </c>
      <c r="C375" s="61" t="s">
        <v>187</v>
      </c>
      <c r="D375" s="112">
        <v>170</v>
      </c>
      <c r="E375" s="48">
        <v>3.51</v>
      </c>
      <c r="F375" s="48">
        <v>5.5</v>
      </c>
      <c r="G375" s="48">
        <v>16</v>
      </c>
      <c r="H375" s="48">
        <v>127.7</v>
      </c>
      <c r="I375" s="48">
        <v>29.2</v>
      </c>
    </row>
    <row r="376" spans="1:9" s="62" customFormat="1" ht="22.5" customHeight="1">
      <c r="B376" s="135" t="s">
        <v>302</v>
      </c>
      <c r="C376" s="61" t="s">
        <v>69</v>
      </c>
      <c r="D376" s="112">
        <v>200</v>
      </c>
      <c r="E376" s="48">
        <v>0.44</v>
      </c>
      <c r="F376" s="48">
        <v>0.02</v>
      </c>
      <c r="G376" s="48">
        <v>20.78</v>
      </c>
      <c r="H376" s="48">
        <v>85</v>
      </c>
      <c r="I376" s="48">
        <v>0.4</v>
      </c>
    </row>
    <row r="377" spans="1:9" ht="18" customHeight="1">
      <c r="B377" s="71"/>
      <c r="C377" s="61" t="s">
        <v>12</v>
      </c>
      <c r="D377" s="31">
        <v>50</v>
      </c>
      <c r="E377" s="48">
        <v>3.3</v>
      </c>
      <c r="F377" s="48">
        <v>0.6</v>
      </c>
      <c r="G377" s="48">
        <v>16.7</v>
      </c>
      <c r="H377" s="48">
        <v>97</v>
      </c>
      <c r="I377" s="48">
        <v>0</v>
      </c>
    </row>
    <row r="378" spans="1:9" ht="18" customHeight="1">
      <c r="B378" s="71"/>
      <c r="C378" s="61" t="s">
        <v>70</v>
      </c>
      <c r="D378" s="52">
        <v>10</v>
      </c>
      <c r="E378" s="48">
        <v>0.7</v>
      </c>
      <c r="F378" s="48">
        <v>7.0000000000000007E-2</v>
      </c>
      <c r="G378" s="48">
        <v>4.7</v>
      </c>
      <c r="H378" s="48">
        <v>22.7</v>
      </c>
      <c r="I378" s="48">
        <v>0</v>
      </c>
    </row>
    <row r="379" spans="1:9" ht="18" customHeight="1">
      <c r="A379" s="29">
        <v>10</v>
      </c>
      <c r="B379" s="30"/>
      <c r="C379" s="30" t="s">
        <v>10</v>
      </c>
      <c r="D379" s="31">
        <v>850</v>
      </c>
      <c r="E379" s="30">
        <f>SUM(E372:E378)</f>
        <v>27.650000000000002</v>
      </c>
      <c r="F379" s="111">
        <f>SUM(F372:F378)</f>
        <v>23.37</v>
      </c>
      <c r="G379" s="111">
        <f>SUM(G372:G378)</f>
        <v>93.48</v>
      </c>
      <c r="H379" s="111">
        <f>SUM(H372:H378)</f>
        <v>706.75</v>
      </c>
      <c r="I379" s="111">
        <f>SUM(I372:I378)</f>
        <v>44.879999999999995</v>
      </c>
    </row>
    <row r="380" spans="1:9" ht="18" customHeight="1">
      <c r="A380" s="29">
        <v>10</v>
      </c>
      <c r="B380" s="171" t="s">
        <v>229</v>
      </c>
      <c r="C380" s="171"/>
      <c r="D380" s="171"/>
      <c r="E380" s="171"/>
      <c r="F380" s="171"/>
      <c r="G380" s="171"/>
      <c r="H380" s="171"/>
      <c r="I380" s="171"/>
    </row>
    <row r="381" spans="1:9" s="62" customFormat="1" ht="18" customHeight="1">
      <c r="B381" s="82"/>
      <c r="C381" s="61" t="s">
        <v>98</v>
      </c>
      <c r="D381" s="66">
        <v>50</v>
      </c>
      <c r="E381" s="48">
        <v>3.7</v>
      </c>
      <c r="F381" s="48">
        <v>4.75</v>
      </c>
      <c r="G381" s="48">
        <v>36.5</v>
      </c>
      <c r="H381" s="48">
        <v>203.5</v>
      </c>
      <c r="I381" s="48">
        <v>0</v>
      </c>
    </row>
    <row r="382" spans="1:9" s="62" customFormat="1" ht="18" customHeight="1">
      <c r="B382" s="82" t="s">
        <v>305</v>
      </c>
      <c r="C382" s="61" t="s">
        <v>73</v>
      </c>
      <c r="D382" s="66">
        <v>200</v>
      </c>
      <c r="E382" s="48">
        <v>6.09</v>
      </c>
      <c r="F382" s="48">
        <v>5.42</v>
      </c>
      <c r="G382" s="48">
        <v>10.08</v>
      </c>
      <c r="H382" s="48">
        <v>113.3</v>
      </c>
      <c r="I382" s="48">
        <v>2.73</v>
      </c>
    </row>
    <row r="383" spans="1:9" s="62" customFormat="1" ht="18" customHeight="1">
      <c r="B383" s="82"/>
      <c r="C383" s="82" t="s">
        <v>10</v>
      </c>
      <c r="D383" s="66">
        <v>250</v>
      </c>
      <c r="E383" s="82">
        <f>E381+E382</f>
        <v>9.7899999999999991</v>
      </c>
      <c r="F383" s="82">
        <f t="shared" ref="F383:I383" si="43">F381+F382</f>
        <v>10.17</v>
      </c>
      <c r="G383" s="82">
        <f t="shared" si="43"/>
        <v>46.58</v>
      </c>
      <c r="H383" s="82">
        <f t="shared" si="43"/>
        <v>316.8</v>
      </c>
      <c r="I383" s="82">
        <f t="shared" si="43"/>
        <v>2.73</v>
      </c>
    </row>
    <row r="384" spans="1:9" s="62" customFormat="1" ht="18" customHeight="1">
      <c r="B384" s="167" t="s">
        <v>192</v>
      </c>
      <c r="C384" s="168"/>
      <c r="D384" s="168"/>
      <c r="E384" s="168"/>
      <c r="F384" s="168"/>
      <c r="G384" s="168"/>
      <c r="H384" s="168"/>
      <c r="I384" s="168"/>
    </row>
    <row r="385" spans="1:9" s="62" customFormat="1" ht="19.5" customHeight="1">
      <c r="B385" s="71" t="s">
        <v>357</v>
      </c>
      <c r="C385" s="61" t="s">
        <v>134</v>
      </c>
      <c r="D385" s="66">
        <v>150</v>
      </c>
      <c r="E385" s="48">
        <v>16.3</v>
      </c>
      <c r="F385" s="48">
        <v>13.45</v>
      </c>
      <c r="G385" s="48">
        <v>18.420000000000002</v>
      </c>
      <c r="H385" s="48">
        <v>259</v>
      </c>
      <c r="I385" s="48">
        <v>0.38</v>
      </c>
    </row>
    <row r="386" spans="1:9" s="62" customFormat="1" ht="18" customHeight="1">
      <c r="A386" s="62">
        <v>6</v>
      </c>
      <c r="B386" s="94" t="s">
        <v>304</v>
      </c>
      <c r="C386" s="61" t="s">
        <v>87</v>
      </c>
      <c r="D386" s="90">
        <v>50</v>
      </c>
      <c r="E386" s="48">
        <v>1.83</v>
      </c>
      <c r="F386" s="48">
        <v>2.76</v>
      </c>
      <c r="G386" s="48">
        <v>3.96</v>
      </c>
      <c r="H386" s="48">
        <v>66.8</v>
      </c>
      <c r="I386" s="48">
        <v>0.13</v>
      </c>
    </row>
    <row r="387" spans="1:9" ht="19.5" customHeight="1">
      <c r="A387" s="29">
        <v>10</v>
      </c>
      <c r="B387" s="71"/>
      <c r="C387" s="61" t="s">
        <v>79</v>
      </c>
      <c r="D387" s="31">
        <v>30</v>
      </c>
      <c r="E387" s="48">
        <v>2</v>
      </c>
      <c r="F387" s="48">
        <v>0.2</v>
      </c>
      <c r="G387" s="48">
        <v>14</v>
      </c>
      <c r="H387" s="48">
        <v>67</v>
      </c>
      <c r="I387" s="48">
        <v>0</v>
      </c>
    </row>
    <row r="388" spans="1:9" ht="18.600000000000001" customHeight="1">
      <c r="A388" s="29">
        <v>10</v>
      </c>
      <c r="B388" s="135" t="s">
        <v>358</v>
      </c>
      <c r="C388" s="45" t="s">
        <v>190</v>
      </c>
      <c r="D388" s="31">
        <v>180</v>
      </c>
      <c r="E388" s="48">
        <v>0</v>
      </c>
      <c r="F388" s="33">
        <v>0</v>
      </c>
      <c r="G388" s="33">
        <v>12.01</v>
      </c>
      <c r="H388" s="33">
        <v>44.4</v>
      </c>
      <c r="I388" s="33">
        <v>0</v>
      </c>
    </row>
    <row r="389" spans="1:9" ht="18" customHeight="1">
      <c r="A389" s="29">
        <v>10</v>
      </c>
      <c r="B389" s="30"/>
      <c r="C389" s="30" t="s">
        <v>10</v>
      </c>
      <c r="D389" s="31">
        <f t="shared" ref="D389:I389" si="44">SUM(D385:D388)</f>
        <v>410</v>
      </c>
      <c r="E389" s="30">
        <f t="shared" si="44"/>
        <v>20.130000000000003</v>
      </c>
      <c r="F389" s="116">
        <f t="shared" si="44"/>
        <v>16.41</v>
      </c>
      <c r="G389" s="116">
        <f t="shared" si="44"/>
        <v>48.39</v>
      </c>
      <c r="H389" s="116">
        <f t="shared" si="44"/>
        <v>437.2</v>
      </c>
      <c r="I389" s="116">
        <f t="shared" si="44"/>
        <v>0.51</v>
      </c>
    </row>
    <row r="390" spans="1:9" ht="18" customHeight="1">
      <c r="A390" s="29">
        <v>10</v>
      </c>
      <c r="B390" s="30"/>
      <c r="C390" s="30" t="s">
        <v>22</v>
      </c>
      <c r="D390" s="31">
        <f>D389+D383+D379+D370+D367</f>
        <v>2156</v>
      </c>
      <c r="E390" s="98">
        <f t="shared" ref="E390:I390" si="45">E389+E383+E379+E370+E367</f>
        <v>71.27000000000001</v>
      </c>
      <c r="F390" s="116">
        <f t="shared" si="45"/>
        <v>65.19</v>
      </c>
      <c r="G390" s="116">
        <f t="shared" si="45"/>
        <v>257.64</v>
      </c>
      <c r="H390" s="116">
        <f t="shared" si="45"/>
        <v>1930.69</v>
      </c>
      <c r="I390" s="116">
        <f t="shared" si="45"/>
        <v>53.339999999999996</v>
      </c>
    </row>
    <row r="391" spans="1:9" s="62" customFormat="1" ht="20.100000000000001" customHeight="1">
      <c r="B391" s="120"/>
      <c r="C391" s="120" t="s">
        <v>136</v>
      </c>
      <c r="D391" s="121"/>
      <c r="E391" s="120">
        <v>54</v>
      </c>
      <c r="F391" s="120">
        <v>60</v>
      </c>
      <c r="G391" s="120">
        <v>261</v>
      </c>
      <c r="H391" s="120">
        <v>1800</v>
      </c>
      <c r="I391" s="120">
        <v>50</v>
      </c>
    </row>
    <row r="392" spans="1:9" s="62" customFormat="1" ht="20.100000000000001" customHeight="1">
      <c r="B392" s="122"/>
      <c r="C392" s="122" t="s">
        <v>137</v>
      </c>
      <c r="D392" s="123"/>
      <c r="E392" s="122">
        <f>ROUND(E390/E391*100-100,2)</f>
        <v>31.98</v>
      </c>
      <c r="F392" s="122">
        <f t="shared" ref="F392:I392" si="46">ROUND(F390/F391*100-100,2)</f>
        <v>8.65</v>
      </c>
      <c r="G392" s="122">
        <f t="shared" si="46"/>
        <v>-1.29</v>
      </c>
      <c r="H392" s="122">
        <f t="shared" si="46"/>
        <v>7.26</v>
      </c>
      <c r="I392" s="122">
        <f t="shared" si="46"/>
        <v>6.68</v>
      </c>
    </row>
    <row r="394" spans="1:9" ht="20.25">
      <c r="B394" s="118"/>
      <c r="C394" s="118"/>
    </row>
  </sheetData>
  <mergeCells count="100">
    <mergeCell ref="B344:I344"/>
    <mergeCell ref="B368:I368"/>
    <mergeCell ref="B331:I331"/>
    <mergeCell ref="B202:B203"/>
    <mergeCell ref="C202:C203"/>
    <mergeCell ref="H202:H203"/>
    <mergeCell ref="B210:I210"/>
    <mergeCell ref="B250:I250"/>
    <mergeCell ref="B290:I290"/>
    <mergeCell ref="B328:I328"/>
    <mergeCell ref="B340:I340"/>
    <mergeCell ref="H242:H243"/>
    <mergeCell ref="B242:B243"/>
    <mergeCell ref="C242:C243"/>
    <mergeCell ref="D242:D243"/>
    <mergeCell ref="E242:G242"/>
    <mergeCell ref="B172:I172"/>
    <mergeCell ref="B362:I362"/>
    <mergeCell ref="B371:I371"/>
    <mergeCell ref="B282:B283"/>
    <mergeCell ref="C282:C283"/>
    <mergeCell ref="D282:D283"/>
    <mergeCell ref="E282:G282"/>
    <mergeCell ref="H282:H283"/>
    <mergeCell ref="B320:B321"/>
    <mergeCell ref="C320:C321"/>
    <mergeCell ref="D320:D321"/>
    <mergeCell ref="E320:G320"/>
    <mergeCell ref="H320:H321"/>
    <mergeCell ref="B306:I306"/>
    <mergeCell ref="D202:D203"/>
    <mergeCell ref="E202:G202"/>
    <mergeCell ref="B384:I384"/>
    <mergeCell ref="B228:I228"/>
    <mergeCell ref="B166:I166"/>
    <mergeCell ref="C126:C127"/>
    <mergeCell ref="D126:D127"/>
    <mergeCell ref="E126:G126"/>
    <mergeCell ref="H126:H127"/>
    <mergeCell ref="B380:I380"/>
    <mergeCell ref="B322:I322"/>
    <mergeCell ref="B175:I175"/>
    <mergeCell ref="B183:I183"/>
    <mergeCell ref="B204:I204"/>
    <mergeCell ref="B213:I213"/>
    <mergeCell ref="B223:I223"/>
    <mergeCell ref="B244:I244"/>
    <mergeCell ref="B253:I253"/>
    <mergeCell ref="B137:I137"/>
    <mergeCell ref="B145:I145"/>
    <mergeCell ref="B93:I93"/>
    <mergeCell ref="B134:I134"/>
    <mergeCell ref="H164:H165"/>
    <mergeCell ref="B164:B165"/>
    <mergeCell ref="C164:C165"/>
    <mergeCell ref="D164:D165"/>
    <mergeCell ref="B109:I109"/>
    <mergeCell ref="B149:I149"/>
    <mergeCell ref="B5:B6"/>
    <mergeCell ref="C5:C6"/>
    <mergeCell ref="D5:D6"/>
    <mergeCell ref="E5:G5"/>
    <mergeCell ref="H5:H6"/>
    <mergeCell ref="B7:I7"/>
    <mergeCell ref="B17:I17"/>
    <mergeCell ref="B27:I27"/>
    <mergeCell ref="B14:I14"/>
    <mergeCell ref="B85:B86"/>
    <mergeCell ref="C85:C86"/>
    <mergeCell ref="D85:D86"/>
    <mergeCell ref="B32:I32"/>
    <mergeCell ref="B71:I71"/>
    <mergeCell ref="B59:I59"/>
    <mergeCell ref="B50:I50"/>
    <mergeCell ref="B266:I266"/>
    <mergeCell ref="B262:I262"/>
    <mergeCell ref="B284:I284"/>
    <mergeCell ref="B293:I293"/>
    <mergeCell ref="B302:I302"/>
    <mergeCell ref="B360:B361"/>
    <mergeCell ref="C360:C361"/>
    <mergeCell ref="D360:D361"/>
    <mergeCell ref="E360:G360"/>
    <mergeCell ref="H360:H361"/>
    <mergeCell ref="B187:I187"/>
    <mergeCell ref="C48:C49"/>
    <mergeCell ref="D48:D49"/>
    <mergeCell ref="E48:G48"/>
    <mergeCell ref="H48:H49"/>
    <mergeCell ref="B56:I56"/>
    <mergeCell ref="E85:G85"/>
    <mergeCell ref="B126:B127"/>
    <mergeCell ref="H85:H86"/>
    <mergeCell ref="B48:B49"/>
    <mergeCell ref="B87:I87"/>
    <mergeCell ref="B67:I67"/>
    <mergeCell ref="E164:G164"/>
    <mergeCell ref="B96:I96"/>
    <mergeCell ref="B105:I105"/>
    <mergeCell ref="B128:I128"/>
  </mergeCells>
  <pageMargins left="0.51181102362204722" right="0.51181102362204722" top="0.39370078740157483" bottom="0.19685039370078741" header="0" footer="0"/>
  <pageSetup paperSize="9" scale="60" fitToHeight="10" orientation="landscape" r:id="rId1"/>
  <rowBreaks count="9" manualBreakCount="9">
    <brk id="42" min="1" max="11" man="1"/>
    <brk id="80" min="1" max="11" man="1"/>
    <brk id="120" min="1" max="11" man="1"/>
    <brk id="158" min="1" max="11" man="1"/>
    <brk id="196" min="1" max="11" man="1"/>
    <brk id="237" min="1" max="11" man="1"/>
    <brk id="276" min="1" max="11" man="1"/>
    <brk id="315" min="1" max="11" man="1"/>
    <brk id="354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15"/>
  <sheetViews>
    <sheetView workbookViewId="0">
      <selection activeCell="F18" sqref="F18"/>
    </sheetView>
  </sheetViews>
  <sheetFormatPr defaultColWidth="9.140625" defaultRowHeight="15"/>
  <cols>
    <col min="1" max="1" width="9.140625" style="1"/>
    <col min="2" max="2" width="10.5703125" style="1" customWidth="1"/>
    <col min="3" max="3" width="13.28515625" style="1" bestFit="1" customWidth="1"/>
    <col min="4" max="5" width="9.28515625" style="1" bestFit="1" customWidth="1"/>
    <col min="6" max="6" width="12.7109375" style="1" customWidth="1"/>
    <col min="7" max="7" width="9.28515625" style="1" bestFit="1" customWidth="1"/>
    <col min="8" max="16384" width="9.140625" style="1"/>
  </cols>
  <sheetData>
    <row r="2" spans="2:7" ht="40.5" customHeight="1">
      <c r="B2" s="186" t="s">
        <v>199</v>
      </c>
      <c r="C2" s="186"/>
      <c r="D2" s="186"/>
      <c r="E2" s="186"/>
      <c r="F2" s="186"/>
      <c r="G2" s="186"/>
    </row>
    <row r="3" spans="2:7" ht="75" customHeight="1">
      <c r="B3" s="10" t="s">
        <v>23</v>
      </c>
      <c r="C3" s="183" t="s">
        <v>3</v>
      </c>
      <c r="D3" s="184"/>
      <c r="E3" s="185"/>
      <c r="F3" s="181" t="s">
        <v>24</v>
      </c>
      <c r="G3" s="100" t="s">
        <v>64</v>
      </c>
    </row>
    <row r="4" spans="2:7" ht="19.5" customHeight="1">
      <c r="B4" s="11"/>
      <c r="C4" s="10" t="s">
        <v>5</v>
      </c>
      <c r="D4" s="10" t="s">
        <v>6</v>
      </c>
      <c r="E4" s="10" t="s">
        <v>7</v>
      </c>
      <c r="F4" s="182"/>
      <c r="G4" s="10" t="s">
        <v>8</v>
      </c>
    </row>
    <row r="5" spans="2:7" ht="16.5" customHeight="1">
      <c r="B5" s="12">
        <v>1</v>
      </c>
      <c r="C5" s="13">
        <f>'на выход'!E40</f>
        <v>89.45</v>
      </c>
      <c r="D5" s="13">
        <f>'на выход'!F40</f>
        <v>94.420000000000016</v>
      </c>
      <c r="E5" s="13">
        <f>'на выход'!G40</f>
        <v>245.68</v>
      </c>
      <c r="F5" s="13">
        <f>'на выход'!H40</f>
        <v>2222.08</v>
      </c>
      <c r="G5" s="13">
        <f>'на выход'!I40</f>
        <v>47.05</v>
      </c>
    </row>
    <row r="6" spans="2:7" ht="16.5" customHeight="1">
      <c r="B6" s="12">
        <v>2</v>
      </c>
      <c r="C6" s="13">
        <f>'на выход'!E78</f>
        <v>61.05</v>
      </c>
      <c r="D6" s="13">
        <f>'на выход'!F78</f>
        <v>70.19</v>
      </c>
      <c r="E6" s="13">
        <f>'на выход'!G78</f>
        <v>252.92</v>
      </c>
      <c r="F6" s="13">
        <f>'на выход'!H78</f>
        <v>1742.9199999999998</v>
      </c>
      <c r="G6" s="13">
        <f>'на выход'!I78</f>
        <v>89.510000000000019</v>
      </c>
    </row>
    <row r="7" spans="2:7" ht="16.5" customHeight="1">
      <c r="B7" s="12">
        <v>3</v>
      </c>
      <c r="C7" s="13">
        <f>'на выход'!E118</f>
        <v>60.800000000000004</v>
      </c>
      <c r="D7" s="13">
        <f>'на выход'!F118</f>
        <v>59.49</v>
      </c>
      <c r="E7" s="13">
        <f>'на выход'!G118</f>
        <v>249.8</v>
      </c>
      <c r="F7" s="13">
        <f>'на выход'!H118</f>
        <v>1790.67</v>
      </c>
      <c r="G7" s="13">
        <f>'на выход'!I118</f>
        <v>77.03</v>
      </c>
    </row>
    <row r="8" spans="2:7" ht="16.5" customHeight="1">
      <c r="B8" s="12">
        <v>4</v>
      </c>
      <c r="C8" s="13">
        <f>'на выход'!E156</f>
        <v>86.09</v>
      </c>
      <c r="D8" s="13">
        <f>'на выход'!F156</f>
        <v>69.59</v>
      </c>
      <c r="E8" s="13">
        <f>'на выход'!G156</f>
        <v>283.30999999999995</v>
      </c>
      <c r="F8" s="13">
        <f>'на выход'!H156</f>
        <v>2131.7600000000002</v>
      </c>
      <c r="G8" s="13">
        <f>'на выход'!I156</f>
        <v>36.42</v>
      </c>
    </row>
    <row r="9" spans="2:7" ht="16.5" customHeight="1">
      <c r="B9" s="12">
        <v>5</v>
      </c>
      <c r="C9" s="13">
        <f>'на выход'!E194</f>
        <v>83.09</v>
      </c>
      <c r="D9" s="13">
        <f>'на выход'!F194</f>
        <v>50.660000000000004</v>
      </c>
      <c r="E9" s="13">
        <f>'на выход'!G194</f>
        <v>237.07</v>
      </c>
      <c r="F9" s="13">
        <f>'на выход'!H194</f>
        <v>1706.18</v>
      </c>
      <c r="G9" s="13">
        <f>'на выход'!I194</f>
        <v>79.72999999999999</v>
      </c>
    </row>
    <row r="10" spans="2:7" ht="16.5" customHeight="1">
      <c r="B10" s="12">
        <v>6</v>
      </c>
      <c r="C10" s="13">
        <f>'на выход'!E235</f>
        <v>66.669999999999987</v>
      </c>
      <c r="D10" s="13">
        <f>'на выход'!F235</f>
        <v>86.999999999999986</v>
      </c>
      <c r="E10" s="13">
        <f>'на выход'!G235</f>
        <v>233.36</v>
      </c>
      <c r="F10" s="13">
        <f>'на выход'!H235</f>
        <v>2051.9899999999998</v>
      </c>
      <c r="G10" s="13">
        <f>'на выход'!I235</f>
        <v>65.010000000000005</v>
      </c>
    </row>
    <row r="11" spans="2:7" ht="16.5" customHeight="1">
      <c r="B11" s="12">
        <v>7</v>
      </c>
      <c r="C11" s="13">
        <f>'на выход'!E274</f>
        <v>60.739999999999995</v>
      </c>
      <c r="D11" s="13">
        <f>'на выход'!F274</f>
        <v>63.699999999999996</v>
      </c>
      <c r="E11" s="13">
        <f>'на выход'!G274</f>
        <v>265.87</v>
      </c>
      <c r="F11" s="13">
        <f>'на выход'!H274</f>
        <v>1903.34</v>
      </c>
      <c r="G11" s="13">
        <f>'на выход'!I274</f>
        <v>42.98</v>
      </c>
    </row>
    <row r="12" spans="2:7" ht="16.5" customHeight="1">
      <c r="B12" s="12">
        <v>8</v>
      </c>
      <c r="C12" s="13">
        <f>'на выход'!E313</f>
        <v>57.48</v>
      </c>
      <c r="D12" s="13">
        <f>'на выход'!F313</f>
        <v>50.91</v>
      </c>
      <c r="E12" s="13">
        <f>'на выход'!G313</f>
        <v>253.11</v>
      </c>
      <c r="F12" s="13">
        <f>'на выход'!H313</f>
        <v>1708.14</v>
      </c>
      <c r="G12" s="13">
        <f>'на выход'!I313</f>
        <v>69.5</v>
      </c>
    </row>
    <row r="13" spans="2:7" ht="16.5" customHeight="1">
      <c r="B13" s="12">
        <v>9</v>
      </c>
      <c r="C13" s="13">
        <f>'на выход'!E352</f>
        <v>66.009999999999991</v>
      </c>
      <c r="D13" s="13">
        <f>'на выход'!F352</f>
        <v>54.84</v>
      </c>
      <c r="E13" s="13">
        <f>'на выход'!G352</f>
        <v>231.03</v>
      </c>
      <c r="F13" s="13">
        <f>'на выход'!H352</f>
        <v>1699.11</v>
      </c>
      <c r="G13" s="13">
        <f>'на выход'!I352</f>
        <v>38.949999999999996</v>
      </c>
    </row>
    <row r="14" spans="2:7" ht="15.75">
      <c r="B14" s="12">
        <v>10</v>
      </c>
      <c r="C14" s="13">
        <f>'на выход'!E390</f>
        <v>71.27000000000001</v>
      </c>
      <c r="D14" s="13">
        <f>'на выход'!F390</f>
        <v>65.19</v>
      </c>
      <c r="E14" s="13">
        <f>'на выход'!G390</f>
        <v>257.64</v>
      </c>
      <c r="F14" s="13">
        <f>'на выход'!H390</f>
        <v>1930.69</v>
      </c>
      <c r="G14" s="13">
        <f>'на выход'!I390</f>
        <v>53.339999999999996</v>
      </c>
    </row>
    <row r="15" spans="2:7" ht="30" customHeight="1">
      <c r="B15" s="143" t="s">
        <v>25</v>
      </c>
      <c r="C15" s="14">
        <f>SUM(C5:C14)</f>
        <v>702.65</v>
      </c>
      <c r="D15" s="14">
        <f>SUM(D5:D14)</f>
        <v>665.99</v>
      </c>
      <c r="E15" s="14">
        <f>SUM(E5:E14)</f>
        <v>2509.79</v>
      </c>
      <c r="F15" s="14">
        <f>SUM(F5:F14)</f>
        <v>18886.879999999997</v>
      </c>
      <c r="G15" s="14">
        <f>SUM(G5:G14)</f>
        <v>599.5200000000001</v>
      </c>
    </row>
  </sheetData>
  <mergeCells count="3">
    <mergeCell ref="F3:F4"/>
    <mergeCell ref="C3:E3"/>
    <mergeCell ref="B2:G2"/>
  </mergeCells>
  <pageMargins left="0.7" right="0.7" top="0.75" bottom="0.75" header="0.3" footer="0.3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9"/>
  <sheetViews>
    <sheetView topLeftCell="A20" zoomScale="80" zoomScaleNormal="80" workbookViewId="0">
      <selection activeCell="Q38" sqref="Q38"/>
    </sheetView>
  </sheetViews>
  <sheetFormatPr defaultColWidth="9.140625" defaultRowHeight="15.75"/>
  <cols>
    <col min="1" max="1" width="22.85546875" style="2" customWidth="1"/>
    <col min="2" max="15" width="11.42578125" style="2" customWidth="1"/>
    <col min="16" max="16384" width="9.140625" style="2"/>
  </cols>
  <sheetData>
    <row r="1" spans="1:1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>
      <c r="A2" s="187" t="s">
        <v>241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1:15">
      <c r="A3" s="188" t="s">
        <v>242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1:15">
      <c r="A4" s="149"/>
      <c r="B4" s="150"/>
      <c r="C4" s="149"/>
      <c r="D4" s="149"/>
      <c r="E4" s="149"/>
      <c r="F4" s="149"/>
      <c r="G4" s="149"/>
      <c r="H4" s="149"/>
      <c r="I4" s="149"/>
      <c r="J4" s="151"/>
      <c r="K4" s="151"/>
      <c r="L4" s="151"/>
      <c r="M4" s="151"/>
      <c r="N4" s="151"/>
      <c r="O4" s="151"/>
    </row>
    <row r="5" spans="1:15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</row>
    <row r="6" spans="1:15">
      <c r="A6" s="190" t="s">
        <v>243</v>
      </c>
      <c r="B6" s="192" t="s">
        <v>244</v>
      </c>
      <c r="C6" s="194" t="s">
        <v>245</v>
      </c>
      <c r="D6" s="194"/>
      <c r="E6" s="194"/>
      <c r="F6" s="194"/>
      <c r="G6" s="194"/>
      <c r="H6" s="194"/>
      <c r="I6" s="194"/>
      <c r="J6" s="194"/>
      <c r="K6" s="194"/>
      <c r="L6" s="194"/>
      <c r="M6" s="194" t="s">
        <v>25</v>
      </c>
      <c r="N6" s="194" t="s">
        <v>246</v>
      </c>
      <c r="O6" s="194" t="s">
        <v>137</v>
      </c>
    </row>
    <row r="7" spans="1:15">
      <c r="A7" s="191"/>
      <c r="B7" s="193"/>
      <c r="C7" s="152">
        <v>1</v>
      </c>
      <c r="D7" s="152">
        <v>2</v>
      </c>
      <c r="E7" s="152">
        <v>3</v>
      </c>
      <c r="F7" s="152">
        <v>4</v>
      </c>
      <c r="G7" s="152">
        <v>5</v>
      </c>
      <c r="H7" s="152">
        <v>6</v>
      </c>
      <c r="I7" s="152">
        <v>7</v>
      </c>
      <c r="J7" s="152">
        <v>8</v>
      </c>
      <c r="K7" s="152">
        <v>9</v>
      </c>
      <c r="L7" s="152">
        <v>10</v>
      </c>
      <c r="M7" s="195"/>
      <c r="N7" s="195"/>
      <c r="O7" s="195"/>
    </row>
    <row r="8" spans="1:15" ht="20.25" customHeight="1">
      <c r="A8" s="153" t="s">
        <v>247</v>
      </c>
      <c r="B8" s="152">
        <v>450</v>
      </c>
      <c r="C8" s="152">
        <v>565</v>
      </c>
      <c r="D8" s="152">
        <v>420</v>
      </c>
      <c r="E8" s="152">
        <v>359</v>
      </c>
      <c r="F8" s="152">
        <v>532</v>
      </c>
      <c r="G8" s="152">
        <v>373</v>
      </c>
      <c r="H8" s="152">
        <v>518</v>
      </c>
      <c r="I8" s="152">
        <v>440</v>
      </c>
      <c r="J8" s="152">
        <v>302</v>
      </c>
      <c r="K8" s="152">
        <v>456</v>
      </c>
      <c r="L8" s="152">
        <v>454</v>
      </c>
      <c r="M8" s="152">
        <f>ROUND(SUM(C8:L8),2)</f>
        <v>4419</v>
      </c>
      <c r="N8" s="154">
        <f>ROUND(M8/10,2)</f>
        <v>441.9</v>
      </c>
      <c r="O8" s="154">
        <f>ROUND(N8/B8*100-100,2)</f>
        <v>-1.8</v>
      </c>
    </row>
    <row r="9" spans="1:15" ht="20.25" customHeight="1">
      <c r="A9" s="155" t="s">
        <v>248</v>
      </c>
      <c r="B9" s="152">
        <v>40</v>
      </c>
      <c r="C9" s="152">
        <v>150</v>
      </c>
      <c r="D9" s="152"/>
      <c r="E9" s="152"/>
      <c r="F9" s="152">
        <v>120</v>
      </c>
      <c r="G9" s="152">
        <v>19</v>
      </c>
      <c r="H9" s="152"/>
      <c r="I9" s="152"/>
      <c r="J9" s="152"/>
      <c r="K9" s="152"/>
      <c r="L9" s="152">
        <v>113</v>
      </c>
      <c r="M9" s="152">
        <f t="shared" ref="M9:M36" si="0">ROUND(SUM(C9:L9),2)</f>
        <v>402</v>
      </c>
      <c r="N9" s="154">
        <f t="shared" ref="N9:N36" si="1">ROUND(M9/10,2)</f>
        <v>40.200000000000003</v>
      </c>
      <c r="O9" s="154">
        <f t="shared" ref="O9:O36" si="2">ROUND(N9/B9*100-100,2)</f>
        <v>0.5</v>
      </c>
    </row>
    <row r="10" spans="1:15" ht="20.25" customHeight="1">
      <c r="A10" s="155" t="s">
        <v>249</v>
      </c>
      <c r="B10" s="152">
        <v>11</v>
      </c>
      <c r="C10" s="152">
        <v>11.5</v>
      </c>
      <c r="D10" s="152">
        <v>7.5</v>
      </c>
      <c r="E10" s="152">
        <v>11</v>
      </c>
      <c r="F10" s="152">
        <v>10</v>
      </c>
      <c r="G10" s="152">
        <v>4.9000000000000004</v>
      </c>
      <c r="H10" s="152">
        <v>20</v>
      </c>
      <c r="I10" s="152">
        <v>15</v>
      </c>
      <c r="J10" s="152">
        <v>21</v>
      </c>
      <c r="K10" s="152"/>
      <c r="L10" s="152">
        <v>11.5</v>
      </c>
      <c r="M10" s="152">
        <f t="shared" si="0"/>
        <v>112.4</v>
      </c>
      <c r="N10" s="154">
        <f t="shared" si="1"/>
        <v>11.24</v>
      </c>
      <c r="O10" s="154">
        <f t="shared" si="2"/>
        <v>2.1800000000000002</v>
      </c>
    </row>
    <row r="11" spans="1:15" ht="20.25" customHeight="1">
      <c r="A11" s="155" t="s">
        <v>250</v>
      </c>
      <c r="B11" s="152">
        <v>6</v>
      </c>
      <c r="C11" s="152">
        <v>6</v>
      </c>
      <c r="D11" s="152">
        <v>15</v>
      </c>
      <c r="E11" s="152">
        <v>4</v>
      </c>
      <c r="F11" s="152">
        <v>15</v>
      </c>
      <c r="G11" s="152"/>
      <c r="H11" s="152">
        <v>10.6</v>
      </c>
      <c r="I11" s="152"/>
      <c r="J11" s="152"/>
      <c r="K11" s="152">
        <v>15</v>
      </c>
      <c r="L11" s="152"/>
      <c r="M11" s="152">
        <f t="shared" si="0"/>
        <v>65.599999999999994</v>
      </c>
      <c r="N11" s="154">
        <f t="shared" si="1"/>
        <v>6.56</v>
      </c>
      <c r="O11" s="154">
        <f t="shared" si="2"/>
        <v>9.33</v>
      </c>
    </row>
    <row r="12" spans="1:15" ht="20.25" customHeight="1">
      <c r="A12" s="155" t="s">
        <v>251</v>
      </c>
      <c r="B12" s="152">
        <v>55</v>
      </c>
      <c r="C12" s="152">
        <v>51</v>
      </c>
      <c r="D12" s="152">
        <v>28.5</v>
      </c>
      <c r="E12" s="152">
        <v>21</v>
      </c>
      <c r="F12" s="152"/>
      <c r="G12" s="152">
        <v>129</v>
      </c>
      <c r="H12" s="152">
        <v>51</v>
      </c>
      <c r="I12" s="152">
        <v>50</v>
      </c>
      <c r="J12" s="152"/>
      <c r="K12" s="152">
        <v>59</v>
      </c>
      <c r="L12" s="152"/>
      <c r="M12" s="152">
        <f t="shared" si="0"/>
        <v>389.5</v>
      </c>
      <c r="N12" s="154">
        <f t="shared" si="1"/>
        <v>38.950000000000003</v>
      </c>
      <c r="O12" s="154">
        <f t="shared" si="2"/>
        <v>-29.18</v>
      </c>
    </row>
    <row r="13" spans="1:15" ht="20.25" customHeight="1">
      <c r="A13" s="155" t="s">
        <v>252</v>
      </c>
      <c r="B13" s="152">
        <v>24</v>
      </c>
      <c r="C13" s="152">
        <v>48</v>
      </c>
      <c r="D13" s="152"/>
      <c r="E13" s="152">
        <v>42</v>
      </c>
      <c r="F13" s="152">
        <v>206</v>
      </c>
      <c r="G13" s="152"/>
      <c r="H13" s="152"/>
      <c r="I13" s="152"/>
      <c r="J13" s="152">
        <v>151</v>
      </c>
      <c r="K13" s="152"/>
      <c r="L13" s="152">
        <v>59</v>
      </c>
      <c r="M13" s="152">
        <f t="shared" si="0"/>
        <v>506</v>
      </c>
      <c r="N13" s="154">
        <f t="shared" si="1"/>
        <v>50.6</v>
      </c>
      <c r="O13" s="154">
        <f t="shared" si="2"/>
        <v>110.83</v>
      </c>
    </row>
    <row r="14" spans="1:15" ht="20.25" customHeight="1">
      <c r="A14" s="155" t="s">
        <v>253</v>
      </c>
      <c r="B14" s="152">
        <v>25</v>
      </c>
      <c r="C14" s="152"/>
      <c r="D14" s="152">
        <v>84</v>
      </c>
      <c r="E14" s="152"/>
      <c r="F14" s="152"/>
      <c r="G14" s="152"/>
      <c r="H14" s="152"/>
      <c r="I14" s="152">
        <v>69</v>
      </c>
      <c r="J14" s="152"/>
      <c r="K14" s="152"/>
      <c r="L14" s="152"/>
      <c r="M14" s="152">
        <f t="shared" si="0"/>
        <v>153</v>
      </c>
      <c r="N14" s="154">
        <f t="shared" si="1"/>
        <v>15.3</v>
      </c>
      <c r="O14" s="154">
        <f t="shared" si="2"/>
        <v>-38.799999999999997</v>
      </c>
    </row>
    <row r="15" spans="1:15" ht="20.25" customHeight="1">
      <c r="A15" s="155" t="s">
        <v>254</v>
      </c>
      <c r="B15" s="152">
        <v>37</v>
      </c>
      <c r="C15" s="152">
        <v>53</v>
      </c>
      <c r="D15" s="152"/>
      <c r="E15" s="152">
        <v>61</v>
      </c>
      <c r="F15" s="152"/>
      <c r="G15" s="152">
        <v>60</v>
      </c>
      <c r="H15" s="152">
        <v>45</v>
      </c>
      <c r="I15" s="152"/>
      <c r="J15" s="152"/>
      <c r="K15" s="152">
        <v>115</v>
      </c>
      <c r="L15" s="152">
        <v>38</v>
      </c>
      <c r="M15" s="152">
        <f t="shared" si="0"/>
        <v>372</v>
      </c>
      <c r="N15" s="154">
        <f t="shared" si="1"/>
        <v>37.200000000000003</v>
      </c>
      <c r="O15" s="154">
        <f t="shared" si="2"/>
        <v>0.54</v>
      </c>
    </row>
    <row r="16" spans="1:15" ht="20.25" customHeight="1">
      <c r="A16" s="157" t="s">
        <v>255</v>
      </c>
      <c r="B16" s="158">
        <v>40</v>
      </c>
      <c r="C16" s="158">
        <v>66</v>
      </c>
      <c r="D16" s="158">
        <v>9</v>
      </c>
      <c r="E16" s="158">
        <v>50</v>
      </c>
      <c r="F16" s="158">
        <v>11</v>
      </c>
      <c r="G16" s="158">
        <v>50</v>
      </c>
      <c r="H16" s="158">
        <v>64</v>
      </c>
      <c r="I16" s="158">
        <v>17</v>
      </c>
      <c r="J16" s="158">
        <v>41</v>
      </c>
      <c r="K16" s="158">
        <v>7</v>
      </c>
      <c r="L16" s="158">
        <v>61</v>
      </c>
      <c r="M16" s="152">
        <f t="shared" si="0"/>
        <v>376</v>
      </c>
      <c r="N16" s="154">
        <f t="shared" si="1"/>
        <v>37.6</v>
      </c>
      <c r="O16" s="154">
        <f t="shared" si="2"/>
        <v>-6</v>
      </c>
    </row>
    <row r="17" spans="1:20" ht="20.25" customHeight="1">
      <c r="A17" s="155" t="s">
        <v>256</v>
      </c>
      <c r="B17" s="152">
        <v>140</v>
      </c>
      <c r="C17" s="152">
        <v>147</v>
      </c>
      <c r="D17" s="152">
        <v>210</v>
      </c>
      <c r="E17" s="152">
        <v>162</v>
      </c>
      <c r="F17" s="152">
        <v>90</v>
      </c>
      <c r="G17" s="152">
        <v>170</v>
      </c>
      <c r="H17" s="152">
        <v>66</v>
      </c>
      <c r="I17" s="152">
        <v>193</v>
      </c>
      <c r="J17" s="152">
        <v>120</v>
      </c>
      <c r="K17" s="152">
        <v>122</v>
      </c>
      <c r="L17" s="152">
        <v>100</v>
      </c>
      <c r="M17" s="152">
        <f t="shared" si="0"/>
        <v>1380</v>
      </c>
      <c r="N17" s="154">
        <f t="shared" si="1"/>
        <v>138</v>
      </c>
      <c r="O17" s="154">
        <f t="shared" si="2"/>
        <v>-1.43</v>
      </c>
    </row>
    <row r="18" spans="1:20" ht="20.25" customHeight="1">
      <c r="A18" s="155" t="s">
        <v>257</v>
      </c>
      <c r="B18" s="152">
        <v>220</v>
      </c>
      <c r="C18" s="152">
        <v>185</v>
      </c>
      <c r="D18" s="152">
        <v>245</v>
      </c>
      <c r="E18" s="152">
        <v>256</v>
      </c>
      <c r="F18" s="152">
        <v>80</v>
      </c>
      <c r="G18" s="152">
        <v>363</v>
      </c>
      <c r="H18" s="152">
        <v>175</v>
      </c>
      <c r="I18" s="152">
        <v>135</v>
      </c>
      <c r="J18" s="152">
        <v>226</v>
      </c>
      <c r="K18" s="152">
        <v>160</v>
      </c>
      <c r="L18" s="152">
        <v>314</v>
      </c>
      <c r="M18" s="152">
        <f t="shared" si="0"/>
        <v>2139</v>
      </c>
      <c r="N18" s="154">
        <f t="shared" si="1"/>
        <v>213.9</v>
      </c>
      <c r="O18" s="154">
        <f t="shared" si="2"/>
        <v>-2.77</v>
      </c>
    </row>
    <row r="19" spans="1:20" ht="20.25" customHeight="1">
      <c r="A19" s="155" t="s">
        <v>258</v>
      </c>
      <c r="B19" s="152">
        <v>100</v>
      </c>
      <c r="C19" s="152">
        <v>41</v>
      </c>
      <c r="D19" s="152">
        <v>100</v>
      </c>
      <c r="E19" s="152">
        <v>141</v>
      </c>
      <c r="F19" s="152">
        <v>200</v>
      </c>
      <c r="G19" s="152">
        <v>41</v>
      </c>
      <c r="H19" s="152">
        <v>141</v>
      </c>
      <c r="I19" s="152">
        <v>210</v>
      </c>
      <c r="J19" s="152">
        <v>17</v>
      </c>
      <c r="K19" s="152">
        <v>141</v>
      </c>
      <c r="L19" s="152"/>
      <c r="M19" s="152">
        <f t="shared" si="0"/>
        <v>1032</v>
      </c>
      <c r="N19" s="154">
        <f t="shared" si="1"/>
        <v>103.2</v>
      </c>
      <c r="O19" s="154">
        <f t="shared" si="2"/>
        <v>3.2</v>
      </c>
    </row>
    <row r="20" spans="1:20" ht="20.25" customHeight="1">
      <c r="A20" s="155" t="s">
        <v>259</v>
      </c>
      <c r="B20" s="152">
        <v>11</v>
      </c>
      <c r="C20" s="152">
        <v>20</v>
      </c>
      <c r="D20" s="152"/>
      <c r="E20" s="152">
        <v>20</v>
      </c>
      <c r="F20" s="152">
        <v>20</v>
      </c>
      <c r="G20" s="152"/>
      <c r="H20" s="152"/>
      <c r="I20" s="152">
        <v>20</v>
      </c>
      <c r="J20" s="152"/>
      <c r="K20" s="152"/>
      <c r="L20" s="152">
        <v>20</v>
      </c>
      <c r="M20" s="152">
        <f t="shared" si="0"/>
        <v>100</v>
      </c>
      <c r="N20" s="154">
        <f t="shared" si="1"/>
        <v>10</v>
      </c>
      <c r="O20" s="154">
        <f t="shared" si="2"/>
        <v>-9.09</v>
      </c>
    </row>
    <row r="21" spans="1:20" ht="20.25" customHeight="1">
      <c r="A21" s="155" t="s">
        <v>260</v>
      </c>
      <c r="B21" s="152">
        <v>100</v>
      </c>
      <c r="C21" s="152">
        <v>150</v>
      </c>
      <c r="D21" s="152"/>
      <c r="E21" s="152">
        <v>180</v>
      </c>
      <c r="F21" s="152"/>
      <c r="G21" s="152">
        <v>150</v>
      </c>
      <c r="H21" s="152">
        <v>200</v>
      </c>
      <c r="I21" s="162"/>
      <c r="J21" s="152">
        <v>180</v>
      </c>
      <c r="K21" s="152"/>
      <c r="L21" s="152">
        <v>150</v>
      </c>
      <c r="M21" s="152">
        <f t="shared" si="0"/>
        <v>1010</v>
      </c>
      <c r="N21" s="154">
        <f t="shared" si="1"/>
        <v>101</v>
      </c>
      <c r="O21" s="154">
        <f t="shared" si="2"/>
        <v>1</v>
      </c>
    </row>
    <row r="22" spans="1:20" ht="20.25" customHeight="1">
      <c r="A22" s="155" t="s">
        <v>261</v>
      </c>
      <c r="B22" s="152">
        <v>50</v>
      </c>
      <c r="C22" s="152"/>
      <c r="D22" s="152">
        <v>170</v>
      </c>
      <c r="E22" s="152"/>
      <c r="F22" s="152"/>
      <c r="G22" s="152">
        <v>170</v>
      </c>
      <c r="H22" s="152"/>
      <c r="I22" s="162"/>
      <c r="J22" s="152">
        <v>170</v>
      </c>
      <c r="K22" s="152"/>
      <c r="L22" s="152"/>
      <c r="M22" s="152">
        <f>ROUND(SUM(C22:L22),2)</f>
        <v>510</v>
      </c>
      <c r="N22" s="154">
        <f>ROUND(M22/10,2)</f>
        <v>51</v>
      </c>
      <c r="O22" s="154">
        <f>ROUND(N22/B22*100-100,2)</f>
        <v>2</v>
      </c>
    </row>
    <row r="23" spans="1:20" ht="20.25" customHeight="1">
      <c r="A23" s="155" t="s">
        <v>262</v>
      </c>
      <c r="B23" s="152">
        <v>50</v>
      </c>
      <c r="C23" s="152">
        <v>50</v>
      </c>
      <c r="D23" s="152">
        <v>50</v>
      </c>
      <c r="E23" s="152">
        <v>50</v>
      </c>
      <c r="F23" s="152">
        <v>50</v>
      </c>
      <c r="G23" s="152">
        <v>50</v>
      </c>
      <c r="H23" s="152">
        <v>50</v>
      </c>
      <c r="I23" s="152">
        <v>50</v>
      </c>
      <c r="J23" s="152">
        <v>50</v>
      </c>
      <c r="K23" s="152">
        <v>50</v>
      </c>
      <c r="L23" s="152">
        <v>50</v>
      </c>
      <c r="M23" s="152">
        <f>ROUND(SUM(C23:L23),2)</f>
        <v>500</v>
      </c>
      <c r="N23" s="154">
        <f>ROUND(M23/10,2)</f>
        <v>50</v>
      </c>
      <c r="O23" s="154">
        <f>ROUND(N23/B23*100-100,2)</f>
        <v>0</v>
      </c>
    </row>
    <row r="24" spans="1:20" ht="20.25" customHeight="1">
      <c r="A24" s="155" t="s">
        <v>263</v>
      </c>
      <c r="B24" s="152">
        <v>80</v>
      </c>
      <c r="C24" s="152">
        <v>83</v>
      </c>
      <c r="D24" s="152">
        <v>80</v>
      </c>
      <c r="E24" s="152">
        <v>81</v>
      </c>
      <c r="F24" s="152">
        <v>80</v>
      </c>
      <c r="G24" s="152">
        <v>80</v>
      </c>
      <c r="H24" s="152">
        <v>77</v>
      </c>
      <c r="I24" s="152">
        <v>75</v>
      </c>
      <c r="J24" s="152">
        <v>80</v>
      </c>
      <c r="K24" s="152">
        <v>79</v>
      </c>
      <c r="L24" s="152">
        <v>80</v>
      </c>
      <c r="M24" s="152">
        <f t="shared" si="0"/>
        <v>795</v>
      </c>
      <c r="N24" s="154">
        <f t="shared" si="1"/>
        <v>79.5</v>
      </c>
      <c r="O24" s="154">
        <f t="shared" si="2"/>
        <v>-0.63</v>
      </c>
    </row>
    <row r="25" spans="1:20" ht="20.25" customHeight="1">
      <c r="A25" s="155" t="s">
        <v>264</v>
      </c>
      <c r="B25" s="152">
        <v>43</v>
      </c>
      <c r="C25" s="152">
        <v>26</v>
      </c>
      <c r="D25" s="152">
        <v>28</v>
      </c>
      <c r="E25" s="152">
        <v>27</v>
      </c>
      <c r="F25" s="152">
        <v>66</v>
      </c>
      <c r="G25" s="152">
        <v>25</v>
      </c>
      <c r="H25" s="152">
        <v>53</v>
      </c>
      <c r="I25" s="152">
        <v>53</v>
      </c>
      <c r="J25" s="152">
        <v>69</v>
      </c>
      <c r="K25" s="152">
        <v>36</v>
      </c>
      <c r="L25" s="152">
        <v>34</v>
      </c>
      <c r="M25" s="152">
        <f t="shared" si="0"/>
        <v>417</v>
      </c>
      <c r="N25" s="154">
        <f t="shared" si="1"/>
        <v>41.7</v>
      </c>
      <c r="O25" s="154">
        <f t="shared" si="2"/>
        <v>-3.02</v>
      </c>
      <c r="T25" s="2" t="s">
        <v>279</v>
      </c>
    </row>
    <row r="26" spans="1:20" ht="20.25" customHeight="1">
      <c r="A26" s="155" t="s">
        <v>265</v>
      </c>
      <c r="B26" s="152">
        <v>12</v>
      </c>
      <c r="C26" s="152">
        <v>49</v>
      </c>
      <c r="D26" s="152"/>
      <c r="E26" s="152"/>
      <c r="F26" s="152"/>
      <c r="G26" s="152"/>
      <c r="H26" s="152">
        <v>16</v>
      </c>
      <c r="I26" s="152"/>
      <c r="J26" s="152"/>
      <c r="K26" s="152">
        <v>49</v>
      </c>
      <c r="L26" s="152"/>
      <c r="M26" s="152">
        <f t="shared" si="0"/>
        <v>114</v>
      </c>
      <c r="N26" s="154">
        <f t="shared" si="1"/>
        <v>11.4</v>
      </c>
      <c r="O26" s="154">
        <f t="shared" si="2"/>
        <v>-5</v>
      </c>
    </row>
    <row r="27" spans="1:20" ht="20.25" customHeight="1">
      <c r="A27" s="155" t="s">
        <v>266</v>
      </c>
      <c r="B27" s="152">
        <v>29</v>
      </c>
      <c r="C27" s="152">
        <v>25</v>
      </c>
      <c r="D27" s="152">
        <v>2.25</v>
      </c>
      <c r="E27" s="152">
        <v>30.68</v>
      </c>
      <c r="F27" s="152">
        <v>30.7</v>
      </c>
      <c r="G27" s="152">
        <v>29.8</v>
      </c>
      <c r="H27" s="152">
        <v>56.8</v>
      </c>
      <c r="I27" s="152">
        <v>21.2</v>
      </c>
      <c r="J27" s="152">
        <v>29</v>
      </c>
      <c r="K27" s="152">
        <v>41</v>
      </c>
      <c r="L27" s="152">
        <v>17</v>
      </c>
      <c r="M27" s="152">
        <f t="shared" si="0"/>
        <v>283.43</v>
      </c>
      <c r="N27" s="154">
        <f t="shared" si="1"/>
        <v>28.34</v>
      </c>
      <c r="O27" s="154">
        <f t="shared" si="2"/>
        <v>-2.2799999999999998</v>
      </c>
    </row>
    <row r="28" spans="1:20" ht="20.25" customHeight="1">
      <c r="A28" s="155" t="s">
        <v>267</v>
      </c>
      <c r="B28" s="152">
        <v>21</v>
      </c>
      <c r="C28" s="152">
        <v>34.799999999999997</v>
      </c>
      <c r="D28" s="152">
        <v>19</v>
      </c>
      <c r="E28" s="152">
        <v>24.18</v>
      </c>
      <c r="F28" s="152">
        <v>17</v>
      </c>
      <c r="G28" s="152">
        <v>18.399999999999999</v>
      </c>
      <c r="H28" s="152">
        <v>11.2</v>
      </c>
      <c r="I28" s="152">
        <v>30.2</v>
      </c>
      <c r="J28" s="152">
        <v>15</v>
      </c>
      <c r="K28" s="152">
        <v>19.25</v>
      </c>
      <c r="L28" s="154">
        <v>18.5</v>
      </c>
      <c r="M28" s="152">
        <f t="shared" si="0"/>
        <v>207.53</v>
      </c>
      <c r="N28" s="154">
        <f t="shared" si="1"/>
        <v>20.75</v>
      </c>
      <c r="O28" s="154">
        <f t="shared" si="2"/>
        <v>-1.19</v>
      </c>
    </row>
    <row r="29" spans="1:20" ht="20.25" customHeight="1">
      <c r="A29" s="155" t="s">
        <v>268</v>
      </c>
      <c r="B29" s="152">
        <v>11</v>
      </c>
      <c r="C29" s="152">
        <v>12</v>
      </c>
      <c r="D29" s="152">
        <v>6.5</v>
      </c>
      <c r="E29" s="152">
        <v>14</v>
      </c>
      <c r="F29" s="152">
        <v>5</v>
      </c>
      <c r="G29" s="152">
        <v>15.6</v>
      </c>
      <c r="H29" s="152">
        <v>15</v>
      </c>
      <c r="I29" s="152">
        <v>7</v>
      </c>
      <c r="J29" s="152">
        <v>11.8</v>
      </c>
      <c r="K29" s="152">
        <v>10.199999999999999</v>
      </c>
      <c r="L29" s="152">
        <v>11</v>
      </c>
      <c r="M29" s="152">
        <f t="shared" si="0"/>
        <v>108.1</v>
      </c>
      <c r="N29" s="154">
        <f t="shared" si="1"/>
        <v>10.81</v>
      </c>
      <c r="O29" s="154">
        <f t="shared" si="2"/>
        <v>-1.73</v>
      </c>
    </row>
    <row r="30" spans="1:20" ht="20.25" customHeight="1">
      <c r="A30" s="155" t="s">
        <v>269</v>
      </c>
      <c r="B30" s="152">
        <v>20</v>
      </c>
      <c r="C30" s="152"/>
      <c r="D30" s="152">
        <v>50</v>
      </c>
      <c r="E30" s="152"/>
      <c r="F30" s="152">
        <v>50</v>
      </c>
      <c r="G30" s="152"/>
      <c r="H30" s="152"/>
      <c r="I30" s="152">
        <v>50</v>
      </c>
      <c r="J30" s="152"/>
      <c r="K30" s="152"/>
      <c r="L30" s="152">
        <v>50</v>
      </c>
      <c r="M30" s="152">
        <f t="shared" si="0"/>
        <v>200</v>
      </c>
      <c r="N30" s="154">
        <f t="shared" si="1"/>
        <v>20</v>
      </c>
      <c r="O30" s="154">
        <f t="shared" si="2"/>
        <v>0</v>
      </c>
    </row>
    <row r="31" spans="1:20" ht="20.25" customHeight="1">
      <c r="A31" s="155" t="s">
        <v>270</v>
      </c>
      <c r="B31" s="152">
        <v>0.6</v>
      </c>
      <c r="C31" s="152"/>
      <c r="D31" s="152">
        <v>0.9</v>
      </c>
      <c r="E31" s="152">
        <v>0.6</v>
      </c>
      <c r="F31" s="152">
        <v>0.6</v>
      </c>
      <c r="G31" s="152">
        <v>0.6</v>
      </c>
      <c r="H31" s="152">
        <v>0.3</v>
      </c>
      <c r="I31" s="152">
        <v>0.6</v>
      </c>
      <c r="J31" s="152">
        <v>0.9</v>
      </c>
      <c r="K31" s="152">
        <v>0.9</v>
      </c>
      <c r="L31" s="152">
        <v>0.6</v>
      </c>
      <c r="M31" s="152">
        <f t="shared" si="0"/>
        <v>6</v>
      </c>
      <c r="N31" s="154">
        <f t="shared" si="1"/>
        <v>0.6</v>
      </c>
      <c r="O31" s="154">
        <f t="shared" si="2"/>
        <v>0</v>
      </c>
    </row>
    <row r="32" spans="1:20" ht="20.25" customHeight="1">
      <c r="A32" s="155" t="s">
        <v>271</v>
      </c>
      <c r="B32" s="152">
        <v>0.6</v>
      </c>
      <c r="C32" s="152"/>
      <c r="D32" s="152"/>
      <c r="E32" s="152">
        <v>3</v>
      </c>
      <c r="F32" s="152"/>
      <c r="G32" s="152"/>
      <c r="H32" s="152"/>
      <c r="I32" s="152">
        <v>3</v>
      </c>
      <c r="J32" s="152"/>
      <c r="K32" s="152"/>
      <c r="L32" s="152"/>
      <c r="M32" s="152">
        <f t="shared" si="0"/>
        <v>6</v>
      </c>
      <c r="N32" s="154">
        <f t="shared" si="1"/>
        <v>0.6</v>
      </c>
      <c r="O32" s="154">
        <f t="shared" si="2"/>
        <v>0</v>
      </c>
    </row>
    <row r="33" spans="1:15" ht="20.25" customHeight="1">
      <c r="A33" s="159" t="s">
        <v>272</v>
      </c>
      <c r="B33" s="160">
        <v>1.2</v>
      </c>
      <c r="C33" s="160">
        <v>3</v>
      </c>
      <c r="D33" s="160"/>
      <c r="E33" s="160"/>
      <c r="F33" s="152">
        <v>3</v>
      </c>
      <c r="G33" s="160"/>
      <c r="H33" s="163"/>
      <c r="I33" s="160"/>
      <c r="J33" s="160">
        <v>3</v>
      </c>
      <c r="K33" s="160"/>
      <c r="L33" s="160"/>
      <c r="M33" s="152">
        <f t="shared" si="0"/>
        <v>9</v>
      </c>
      <c r="N33" s="154">
        <f t="shared" si="1"/>
        <v>0.9</v>
      </c>
      <c r="O33" s="154">
        <f t="shared" si="2"/>
        <v>-25</v>
      </c>
    </row>
    <row r="34" spans="1:15" ht="20.25" customHeight="1">
      <c r="A34" s="155" t="s">
        <v>273</v>
      </c>
      <c r="B34" s="161">
        <v>30</v>
      </c>
      <c r="C34" s="161">
        <v>42</v>
      </c>
      <c r="D34" s="161">
        <v>25</v>
      </c>
      <c r="E34" s="161">
        <v>35</v>
      </c>
      <c r="F34" s="161">
        <v>32</v>
      </c>
      <c r="G34" s="161">
        <v>28</v>
      </c>
      <c r="H34" s="161">
        <v>24.5</v>
      </c>
      <c r="I34" s="161">
        <v>31</v>
      </c>
      <c r="J34" s="161">
        <v>29.8</v>
      </c>
      <c r="K34" s="161">
        <v>30.7</v>
      </c>
      <c r="L34" s="161">
        <v>34</v>
      </c>
      <c r="M34" s="152">
        <f t="shared" si="0"/>
        <v>312</v>
      </c>
      <c r="N34" s="154">
        <f t="shared" si="1"/>
        <v>31.2</v>
      </c>
      <c r="O34" s="154">
        <f t="shared" si="2"/>
        <v>4</v>
      </c>
    </row>
    <row r="35" spans="1:15" ht="20.25" customHeight="1">
      <c r="A35" s="155" t="s">
        <v>274</v>
      </c>
      <c r="B35" s="152">
        <v>0.5</v>
      </c>
      <c r="C35" s="152"/>
      <c r="D35" s="152"/>
      <c r="E35" s="152">
        <v>0.23</v>
      </c>
      <c r="F35" s="152"/>
      <c r="G35" s="152">
        <v>0.23</v>
      </c>
      <c r="H35" s="152">
        <v>0.3</v>
      </c>
      <c r="I35" s="152"/>
      <c r="J35" s="152">
        <v>0.23</v>
      </c>
      <c r="K35" s="152">
        <v>0.25</v>
      </c>
      <c r="L35" s="152"/>
      <c r="M35" s="152">
        <f t="shared" si="0"/>
        <v>1.24</v>
      </c>
      <c r="N35" s="154">
        <f t="shared" si="1"/>
        <v>0.12</v>
      </c>
      <c r="O35" s="154">
        <f t="shared" si="2"/>
        <v>-76</v>
      </c>
    </row>
    <row r="36" spans="1:15" ht="20.25" customHeight="1">
      <c r="A36" s="155" t="s">
        <v>275</v>
      </c>
      <c r="B36" s="152">
        <v>3</v>
      </c>
      <c r="C36" s="152"/>
      <c r="D36" s="152"/>
      <c r="E36" s="152"/>
      <c r="F36" s="152"/>
      <c r="G36" s="152"/>
      <c r="H36" s="152"/>
      <c r="I36" s="152"/>
      <c r="J36" s="152"/>
      <c r="K36" s="152"/>
      <c r="L36" s="152">
        <v>22</v>
      </c>
      <c r="M36" s="152">
        <f t="shared" si="0"/>
        <v>22</v>
      </c>
      <c r="N36" s="154">
        <f t="shared" si="1"/>
        <v>2.2000000000000002</v>
      </c>
      <c r="O36" s="154">
        <f t="shared" si="2"/>
        <v>-26.67</v>
      </c>
    </row>
    <row r="37" spans="1:15" ht="20.25" customHeight="1">
      <c r="A37" s="155" t="s">
        <v>276</v>
      </c>
      <c r="B37" s="152">
        <v>5</v>
      </c>
      <c r="C37" s="152">
        <v>5</v>
      </c>
      <c r="D37" s="152">
        <v>5</v>
      </c>
      <c r="E37" s="152">
        <v>5</v>
      </c>
      <c r="F37" s="152">
        <v>5</v>
      </c>
      <c r="G37" s="152">
        <v>5</v>
      </c>
      <c r="H37" s="152">
        <v>5</v>
      </c>
      <c r="I37" s="152">
        <v>5</v>
      </c>
      <c r="J37" s="152">
        <v>5</v>
      </c>
      <c r="K37" s="152">
        <v>5</v>
      </c>
      <c r="L37" s="152">
        <v>5</v>
      </c>
      <c r="M37" s="152">
        <f>ROUND(SUM(C37:L37),2)</f>
        <v>50</v>
      </c>
      <c r="N37" s="154">
        <f>ROUND(M37/10,2)</f>
        <v>5</v>
      </c>
      <c r="O37" s="154">
        <f>ROUND(N37/B37*100-100,2)</f>
        <v>0</v>
      </c>
    </row>
    <row r="38" spans="1:15">
      <c r="A38" s="156" t="s">
        <v>277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</row>
    <row r="39" spans="1:15">
      <c r="A39" s="156" t="s">
        <v>278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</row>
  </sheetData>
  <mergeCells count="9">
    <mergeCell ref="A2:O2"/>
    <mergeCell ref="A3:O3"/>
    <mergeCell ref="A5:O5"/>
    <mergeCell ref="A6:A7"/>
    <mergeCell ref="B6:B7"/>
    <mergeCell ref="C6:L6"/>
    <mergeCell ref="M6:M7"/>
    <mergeCell ref="N6:N7"/>
    <mergeCell ref="O6:O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16"/>
  <sheetViews>
    <sheetView workbookViewId="0">
      <selection activeCell="J20" sqref="J20"/>
    </sheetView>
  </sheetViews>
  <sheetFormatPr defaultColWidth="9.140625" defaultRowHeight="15"/>
  <cols>
    <col min="1" max="1" width="9.140625" style="59"/>
    <col min="2" max="2" width="48.85546875" style="59" customWidth="1"/>
    <col min="3" max="3" width="12.7109375" style="59" customWidth="1"/>
    <col min="4" max="4" width="13.28515625" style="59" customWidth="1"/>
    <col min="5" max="5" width="12.5703125" style="59" customWidth="1"/>
    <col min="6" max="7" width="14" style="59" customWidth="1"/>
    <col min="8" max="16384" width="9.140625" style="59"/>
  </cols>
  <sheetData>
    <row r="2" spans="2:7">
      <c r="B2" s="196" t="s">
        <v>54</v>
      </c>
      <c r="C2" s="196"/>
      <c r="D2" s="196"/>
      <c r="E2" s="196"/>
      <c r="F2" s="196"/>
      <c r="G2" s="196"/>
    </row>
    <row r="3" spans="2:7">
      <c r="B3" s="197"/>
      <c r="C3" s="197"/>
      <c r="D3" s="197"/>
      <c r="E3" s="197"/>
      <c r="F3" s="197"/>
      <c r="G3" s="197"/>
    </row>
    <row r="4" spans="2:7" ht="37.5">
      <c r="B4" s="73" t="s">
        <v>55</v>
      </c>
      <c r="C4" s="73" t="s">
        <v>9</v>
      </c>
      <c r="D4" s="73" t="s">
        <v>56</v>
      </c>
      <c r="E4" s="73" t="s">
        <v>11</v>
      </c>
      <c r="F4" s="73" t="s">
        <v>60</v>
      </c>
      <c r="G4" s="85" t="s">
        <v>59</v>
      </c>
    </row>
    <row r="5" spans="2:7" ht="18.75">
      <c r="B5" s="74">
        <v>1</v>
      </c>
      <c r="C5" s="75">
        <f>'на выход'!D13</f>
        <v>500</v>
      </c>
      <c r="D5" s="75">
        <f>'на выход'!D16</f>
        <v>150</v>
      </c>
      <c r="E5" s="75">
        <f>'на выход'!D26</f>
        <v>790</v>
      </c>
      <c r="F5" s="75">
        <f>'на выход'!D31</f>
        <v>400</v>
      </c>
      <c r="G5" s="75">
        <f>'на выход'!D39</f>
        <v>525</v>
      </c>
    </row>
    <row r="6" spans="2:7" ht="18.75">
      <c r="B6" s="74">
        <v>2</v>
      </c>
      <c r="C6" s="75">
        <f>'на выход'!D55</f>
        <v>427.5</v>
      </c>
      <c r="D6" s="75">
        <f>'на выход'!D58</f>
        <v>100</v>
      </c>
      <c r="E6" s="75">
        <f>'на выход'!D66</f>
        <v>685</v>
      </c>
      <c r="F6" s="75">
        <f>'на выход'!D70</f>
        <v>235</v>
      </c>
      <c r="G6" s="75">
        <f>'на выход'!D77</f>
        <v>451</v>
      </c>
    </row>
    <row r="7" spans="2:7" ht="18.75">
      <c r="B7" s="74">
        <v>3</v>
      </c>
      <c r="C7" s="75">
        <f>'на выход'!D92</f>
        <v>455</v>
      </c>
      <c r="D7" s="75">
        <f>'на выход'!D95</f>
        <v>180</v>
      </c>
      <c r="E7" s="75">
        <f>'на выход'!D104</f>
        <v>721</v>
      </c>
      <c r="F7" s="75">
        <f>'на выход'!D108</f>
        <v>236</v>
      </c>
      <c r="G7" s="75">
        <f>'на выход'!D117</f>
        <v>590</v>
      </c>
    </row>
    <row r="8" spans="2:7" ht="18.75">
      <c r="B8" s="74">
        <v>4</v>
      </c>
      <c r="C8" s="75">
        <f>'на выход'!D133</f>
        <v>430</v>
      </c>
      <c r="D8" s="75">
        <f>'на выход'!D136</f>
        <v>100</v>
      </c>
      <c r="E8" s="75">
        <f>'на выход'!D144</f>
        <v>738</v>
      </c>
      <c r="F8" s="75">
        <f>'на выход'!D148</f>
        <v>250</v>
      </c>
      <c r="G8" s="75">
        <f>'на выход'!D155</f>
        <v>504</v>
      </c>
    </row>
    <row r="9" spans="2:7" ht="18.75">
      <c r="B9" s="74">
        <v>5</v>
      </c>
      <c r="C9" s="75">
        <f>'на выход'!D171</f>
        <v>501</v>
      </c>
      <c r="D9" s="75">
        <f>'на выход'!D174</f>
        <v>150</v>
      </c>
      <c r="E9" s="75">
        <f>'на выход'!D182</f>
        <v>690</v>
      </c>
      <c r="F9" s="75">
        <f>'[1]на 100'!D155</f>
        <v>250</v>
      </c>
      <c r="G9" s="75">
        <f>'на выход'!D193</f>
        <v>490</v>
      </c>
    </row>
    <row r="10" spans="2:7" ht="18.75">
      <c r="B10" s="74">
        <v>6</v>
      </c>
      <c r="C10" s="75">
        <f>'на выход'!D209</f>
        <v>490</v>
      </c>
      <c r="D10" s="75">
        <f>'на выход'!D212</f>
        <v>100</v>
      </c>
      <c r="E10" s="75">
        <f>'на выход'!D222</f>
        <v>800</v>
      </c>
      <c r="F10" s="75">
        <v>320</v>
      </c>
      <c r="G10" s="75">
        <f>'на выход'!D234</f>
        <v>445</v>
      </c>
    </row>
    <row r="11" spans="2:7" ht="18.75">
      <c r="B11" s="74">
        <v>7</v>
      </c>
      <c r="C11" s="75">
        <f>'на выход'!D249</f>
        <v>415</v>
      </c>
      <c r="D11" s="75">
        <f>'на выход'!D252</f>
        <v>100</v>
      </c>
      <c r="E11" s="75">
        <f>'на выход'!D261</f>
        <v>725</v>
      </c>
      <c r="F11" s="75">
        <f>'на выход'!D265</f>
        <v>235</v>
      </c>
      <c r="G11" s="75">
        <f>'на выход'!D273</f>
        <v>561</v>
      </c>
    </row>
    <row r="12" spans="2:7" ht="18.75">
      <c r="B12" s="74">
        <v>8</v>
      </c>
      <c r="C12" s="75">
        <f>'на выход'!D289</f>
        <v>456</v>
      </c>
      <c r="D12" s="75">
        <f>'на выход'!D292</f>
        <v>180</v>
      </c>
      <c r="E12" s="75">
        <f>'на выход'!D301</f>
        <v>691</v>
      </c>
      <c r="F12" s="75">
        <f>'на выход'!D305</f>
        <v>236</v>
      </c>
      <c r="G12" s="75">
        <f>'на выход'!D312</f>
        <v>500</v>
      </c>
    </row>
    <row r="13" spans="2:7" ht="18.75">
      <c r="B13" s="74">
        <v>9</v>
      </c>
      <c r="C13" s="75">
        <f>'на выход'!D327</f>
        <v>425</v>
      </c>
      <c r="D13" s="75">
        <f>'на выход'!D330</f>
        <v>100</v>
      </c>
      <c r="E13" s="75">
        <f>'на выход'!D339</f>
        <v>765</v>
      </c>
      <c r="F13" s="75">
        <f>'на выход'!D343</f>
        <v>250</v>
      </c>
      <c r="G13" s="75">
        <v>521</v>
      </c>
    </row>
    <row r="14" spans="2:7" ht="18.75">
      <c r="B14" s="74">
        <v>10</v>
      </c>
      <c r="C14" s="75">
        <f>'на выход'!D367</f>
        <v>496</v>
      </c>
      <c r="D14" s="75">
        <f>'на выход'!D370</f>
        <v>150</v>
      </c>
      <c r="E14" s="75">
        <f>'на выход'!D379</f>
        <v>850</v>
      </c>
      <c r="F14" s="75">
        <f>'на выход'!D383</f>
        <v>250</v>
      </c>
      <c r="G14" s="75">
        <f>'на выход'!D389</f>
        <v>410</v>
      </c>
    </row>
    <row r="15" spans="2:7" ht="18.75">
      <c r="B15" s="73" t="s">
        <v>58</v>
      </c>
      <c r="C15" s="78">
        <f>(C5+C6+C7+C8+C9+C10+C11+C12+C13+C14)/10</f>
        <v>459.55</v>
      </c>
      <c r="D15" s="78">
        <f>(D5+D6+D7+D8+D9+D10+D11+D12+D13+D14)/10</f>
        <v>131</v>
      </c>
      <c r="E15" s="78">
        <f>(E5+E6+E7+E8+E9+E10+E11+E12+E13+E14)/10</f>
        <v>745.5</v>
      </c>
      <c r="F15" s="78">
        <f>(F5+F6+F7+F8+F9+F10+F11+F12+F13+F14)/10</f>
        <v>266.2</v>
      </c>
      <c r="G15" s="87">
        <f>(G5+G6+G7+G8+G9+G10+G11+G12+G13+G14)/10</f>
        <v>499.7</v>
      </c>
    </row>
    <row r="16" spans="2:7" ht="18.75">
      <c r="B16" s="76" t="s">
        <v>57</v>
      </c>
      <c r="C16" s="77">
        <v>400</v>
      </c>
      <c r="D16" s="77">
        <v>100</v>
      </c>
      <c r="E16" s="86">
        <v>600</v>
      </c>
      <c r="F16" s="77">
        <v>250</v>
      </c>
      <c r="G16" s="86">
        <v>450</v>
      </c>
    </row>
  </sheetData>
  <mergeCells count="1">
    <mergeCell ref="B2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1"/>
  <sheetViews>
    <sheetView tabSelected="1" workbookViewId="0">
      <selection activeCell="E2" sqref="E2"/>
    </sheetView>
  </sheetViews>
  <sheetFormatPr defaultColWidth="9.140625" defaultRowHeight="18.75"/>
  <cols>
    <col min="1" max="1" width="141.7109375" style="4" customWidth="1"/>
    <col min="2" max="16384" width="9.140625" style="4"/>
  </cols>
  <sheetData>
    <row r="1" spans="1:1">
      <c r="A1" s="3" t="s">
        <v>28</v>
      </c>
    </row>
    <row r="2" spans="1:1" s="7" customFormat="1" ht="33">
      <c r="A2" s="6" t="s">
        <v>360</v>
      </c>
    </row>
    <row r="3" spans="1:1" s="7" customFormat="1" ht="33">
      <c r="A3" s="6" t="s">
        <v>361</v>
      </c>
    </row>
    <row r="4" spans="1:1" s="7" customFormat="1" ht="33">
      <c r="A4" s="6" t="s">
        <v>362</v>
      </c>
    </row>
    <row r="5" spans="1:1" s="7" customFormat="1" ht="16.5">
      <c r="A5" s="6" t="s">
        <v>363</v>
      </c>
    </row>
    <row r="6" spans="1:1" s="7" customFormat="1" ht="33">
      <c r="A6" s="6" t="s">
        <v>135</v>
      </c>
    </row>
    <row r="7" spans="1:1" s="7" customFormat="1" ht="49.5">
      <c r="A7" s="9" t="s">
        <v>364</v>
      </c>
    </row>
    <row r="8" spans="1:1" s="7" customFormat="1" ht="16.5">
      <c r="A8" s="8" t="s">
        <v>29</v>
      </c>
    </row>
    <row r="9" spans="1:1" s="7" customFormat="1" ht="33">
      <c r="A9" s="9" t="s">
        <v>200</v>
      </c>
    </row>
    <row r="10" spans="1:1" ht="56.25">
      <c r="A10" s="166" t="s">
        <v>359</v>
      </c>
    </row>
    <row r="11" spans="1:1">
      <c r="A11" s="5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25"/>
  <sheetViews>
    <sheetView workbookViewId="0">
      <selection activeCell="M20" sqref="M20"/>
    </sheetView>
  </sheetViews>
  <sheetFormatPr defaultColWidth="9.140625" defaultRowHeight="15"/>
  <cols>
    <col min="1" max="1" width="36.28515625" style="17" customWidth="1"/>
    <col min="2" max="6" width="9.140625" style="17"/>
    <col min="7" max="8" width="10.7109375" style="17" customWidth="1"/>
    <col min="9" max="9" width="9.5703125" style="17" customWidth="1"/>
    <col min="10" max="16384" width="9.140625" style="17"/>
  </cols>
  <sheetData>
    <row r="2" spans="1:10">
      <c r="A2" s="22" t="s">
        <v>45</v>
      </c>
    </row>
    <row r="3" spans="1:10" ht="15.75">
      <c r="A3" s="19"/>
      <c r="B3" s="19"/>
      <c r="C3" s="199" t="s">
        <v>44</v>
      </c>
      <c r="D3" s="199"/>
      <c r="E3" s="199" t="s">
        <v>31</v>
      </c>
      <c r="F3" s="199"/>
      <c r="G3" s="199" t="s">
        <v>32</v>
      </c>
      <c r="H3" s="199"/>
      <c r="I3" s="199" t="s">
        <v>33</v>
      </c>
      <c r="J3" s="199"/>
    </row>
    <row r="4" spans="1:10" ht="15.75">
      <c r="A4" s="19"/>
      <c r="B4" s="19"/>
      <c r="C4" s="20" t="s">
        <v>38</v>
      </c>
      <c r="D4" s="20" t="s">
        <v>39</v>
      </c>
      <c r="E4" s="20" t="s">
        <v>38</v>
      </c>
      <c r="F4" s="20" t="s">
        <v>39</v>
      </c>
      <c r="G4" s="20" t="s">
        <v>38</v>
      </c>
      <c r="H4" s="20" t="s">
        <v>39</v>
      </c>
      <c r="I4" s="20" t="s">
        <v>38</v>
      </c>
      <c r="J4" s="20" t="s">
        <v>39</v>
      </c>
    </row>
    <row r="5" spans="1:10" ht="15.75">
      <c r="A5" s="19" t="s">
        <v>34</v>
      </c>
      <c r="B5" s="19" t="s">
        <v>37</v>
      </c>
      <c r="C5" s="19">
        <f>77*20/100</f>
        <v>15.4</v>
      </c>
      <c r="D5" s="19">
        <f>77*25/100</f>
        <v>19.25</v>
      </c>
      <c r="E5" s="19">
        <f>79*20/100</f>
        <v>15.8</v>
      </c>
      <c r="F5" s="19">
        <f>79*25/100</f>
        <v>19.75</v>
      </c>
      <c r="G5" s="19">
        <f>335*20/100</f>
        <v>67</v>
      </c>
      <c r="H5" s="19">
        <f>335*25/100</f>
        <v>83.75</v>
      </c>
      <c r="I5" s="19">
        <f>2350*20/100</f>
        <v>470</v>
      </c>
      <c r="J5" s="19">
        <f>2350*25/100</f>
        <v>587.5</v>
      </c>
    </row>
    <row r="6" spans="1:10" ht="15.75">
      <c r="A6" s="19" t="s">
        <v>35</v>
      </c>
      <c r="B6" s="19" t="s">
        <v>40</v>
      </c>
      <c r="C6" s="19">
        <f>77*30/100</f>
        <v>23.1</v>
      </c>
      <c r="D6" s="19">
        <f>77*35/100</f>
        <v>26.95</v>
      </c>
      <c r="E6" s="19">
        <f>79*30/100</f>
        <v>23.7</v>
      </c>
      <c r="F6" s="19">
        <f>79*35/100</f>
        <v>27.65</v>
      </c>
      <c r="G6" s="19">
        <f>335*30/100</f>
        <v>100.5</v>
      </c>
      <c r="H6" s="19">
        <f>335*35/100</f>
        <v>117.25</v>
      </c>
      <c r="I6" s="19">
        <f>2350*30/100</f>
        <v>705</v>
      </c>
      <c r="J6" s="19">
        <f>2350*35/100</f>
        <v>822.5</v>
      </c>
    </row>
    <row r="7" spans="1:10" ht="15.75">
      <c r="A7" s="19" t="s">
        <v>36</v>
      </c>
      <c r="B7" s="19" t="s">
        <v>41</v>
      </c>
      <c r="C7" s="19">
        <f>77*10/100</f>
        <v>7.7</v>
      </c>
      <c r="D7" s="19">
        <f>77*15/100</f>
        <v>11.55</v>
      </c>
      <c r="E7" s="19">
        <f>79*10/100</f>
        <v>7.9</v>
      </c>
      <c r="F7" s="19">
        <f>79*15/100</f>
        <v>11.85</v>
      </c>
      <c r="G7" s="19">
        <f>335*10/100</f>
        <v>33.5</v>
      </c>
      <c r="H7" s="19">
        <f>335*15/100</f>
        <v>50.25</v>
      </c>
      <c r="I7" s="19">
        <f>2350*10/100</f>
        <v>235</v>
      </c>
      <c r="J7" s="19">
        <f>2350*15/100</f>
        <v>352.5</v>
      </c>
    </row>
    <row r="8" spans="1:10" ht="15.75">
      <c r="A8" s="19" t="s">
        <v>42</v>
      </c>
      <c r="B8" s="19" t="s">
        <v>43</v>
      </c>
      <c r="C8" s="19">
        <f>SUM(C5:C7)</f>
        <v>46.2</v>
      </c>
      <c r="D8" s="19">
        <f t="shared" ref="D8:J8" si="0">SUM(D5:D7)</f>
        <v>57.75</v>
      </c>
      <c r="E8" s="19">
        <f t="shared" si="0"/>
        <v>47.4</v>
      </c>
      <c r="F8" s="19">
        <f t="shared" si="0"/>
        <v>59.25</v>
      </c>
      <c r="G8" s="19">
        <f t="shared" si="0"/>
        <v>201</v>
      </c>
      <c r="H8" s="19">
        <f t="shared" si="0"/>
        <v>251.25</v>
      </c>
      <c r="I8" s="19">
        <f t="shared" si="0"/>
        <v>1410</v>
      </c>
      <c r="J8" s="19">
        <f t="shared" si="0"/>
        <v>1762.5</v>
      </c>
    </row>
    <row r="9" spans="1:10">
      <c r="C9" s="18"/>
    </row>
    <row r="10" spans="1:10">
      <c r="A10" s="17" t="s">
        <v>46</v>
      </c>
    </row>
    <row r="11" spans="1:10" ht="15.75">
      <c r="A11" s="19"/>
      <c r="B11" s="19"/>
      <c r="C11" s="199" t="s">
        <v>44</v>
      </c>
      <c r="D11" s="199"/>
      <c r="E11" s="199" t="s">
        <v>31</v>
      </c>
      <c r="F11" s="199"/>
      <c r="G11" s="199" t="s">
        <v>32</v>
      </c>
      <c r="H11" s="199"/>
      <c r="I11" s="199" t="s">
        <v>33</v>
      </c>
      <c r="J11" s="199"/>
    </row>
    <row r="12" spans="1:10" ht="15.75">
      <c r="A12" s="19"/>
      <c r="B12" s="19"/>
      <c r="C12" s="21" t="s">
        <v>38</v>
      </c>
      <c r="D12" s="21" t="s">
        <v>39</v>
      </c>
      <c r="E12" s="21" t="s">
        <v>38</v>
      </c>
      <c r="F12" s="21" t="s">
        <v>39</v>
      </c>
      <c r="G12" s="21" t="s">
        <v>38</v>
      </c>
      <c r="H12" s="21" t="s">
        <v>39</v>
      </c>
      <c r="I12" s="21" t="s">
        <v>38</v>
      </c>
      <c r="J12" s="21" t="s">
        <v>39</v>
      </c>
    </row>
    <row r="13" spans="1:10" ht="15.75">
      <c r="A13" s="19" t="s">
        <v>34</v>
      </c>
      <c r="B13" s="19" t="s">
        <v>37</v>
      </c>
      <c r="C13" s="19">
        <f>90*20/100</f>
        <v>18</v>
      </c>
      <c r="D13" s="19">
        <f>90*25/100</f>
        <v>22.5</v>
      </c>
      <c r="E13" s="19">
        <f>92*20/100</f>
        <v>18.399999999999999</v>
      </c>
      <c r="F13" s="19">
        <f>92*25/100</f>
        <v>23</v>
      </c>
      <c r="G13" s="19">
        <f>383*20/100</f>
        <v>76.599999999999994</v>
      </c>
      <c r="H13" s="19">
        <f>383*25/100</f>
        <v>95.75</v>
      </c>
      <c r="I13" s="19">
        <f>2720*20/100</f>
        <v>544</v>
      </c>
      <c r="J13" s="19">
        <f>2350*25/100</f>
        <v>587.5</v>
      </c>
    </row>
    <row r="14" spans="1:10" ht="15.75">
      <c r="A14" s="19" t="s">
        <v>35</v>
      </c>
      <c r="B14" s="19" t="s">
        <v>40</v>
      </c>
      <c r="C14" s="19">
        <f>90*30/100</f>
        <v>27</v>
      </c>
      <c r="D14" s="19">
        <f>90*35/100</f>
        <v>31.5</v>
      </c>
      <c r="E14" s="19">
        <f>92*30/100</f>
        <v>27.6</v>
      </c>
      <c r="F14" s="19">
        <f>92*35/100</f>
        <v>32.200000000000003</v>
      </c>
      <c r="G14" s="19">
        <f>383*30/100</f>
        <v>114.9</v>
      </c>
      <c r="H14" s="19">
        <f>383*35/100</f>
        <v>134.05000000000001</v>
      </c>
      <c r="I14" s="19">
        <f>2720*30/100</f>
        <v>816</v>
      </c>
      <c r="J14" s="19">
        <f>2350*35/100</f>
        <v>822.5</v>
      </c>
    </row>
    <row r="15" spans="1:10" ht="15.75">
      <c r="A15" s="19" t="s">
        <v>36</v>
      </c>
      <c r="B15" s="19" t="s">
        <v>41</v>
      </c>
      <c r="C15" s="19">
        <f>90*10/100</f>
        <v>9</v>
      </c>
      <c r="D15" s="19">
        <f>90*15/100</f>
        <v>13.5</v>
      </c>
      <c r="E15" s="19">
        <f>92*10/100</f>
        <v>9.1999999999999993</v>
      </c>
      <c r="F15" s="19">
        <f>92*15/100</f>
        <v>13.8</v>
      </c>
      <c r="G15" s="19">
        <f>383*10/100</f>
        <v>38.299999999999997</v>
      </c>
      <c r="H15" s="19">
        <f>383*15/100</f>
        <v>57.45</v>
      </c>
      <c r="I15" s="19">
        <f>2720*10/100</f>
        <v>272</v>
      </c>
      <c r="J15" s="19">
        <f>2720*15/100</f>
        <v>408</v>
      </c>
    </row>
    <row r="16" spans="1:10" ht="15.75">
      <c r="A16" s="19" t="s">
        <v>42</v>
      </c>
      <c r="B16" s="19" t="s">
        <v>43</v>
      </c>
      <c r="C16" s="19">
        <f>SUM(C13:C15)</f>
        <v>54</v>
      </c>
      <c r="D16" s="19">
        <f t="shared" ref="D16:J16" si="1">SUM(D13:D15)</f>
        <v>67.5</v>
      </c>
      <c r="E16" s="19">
        <f t="shared" si="1"/>
        <v>55.2</v>
      </c>
      <c r="F16" s="19">
        <f t="shared" si="1"/>
        <v>69</v>
      </c>
      <c r="G16" s="19">
        <f t="shared" si="1"/>
        <v>229.8</v>
      </c>
      <c r="H16" s="19">
        <f t="shared" si="1"/>
        <v>287.25</v>
      </c>
      <c r="I16" s="19">
        <f t="shared" si="1"/>
        <v>1632</v>
      </c>
      <c r="J16" s="19">
        <f t="shared" si="1"/>
        <v>1818</v>
      </c>
    </row>
    <row r="17" spans="1:10">
      <c r="C17" s="17">
        <v>60.42</v>
      </c>
      <c r="E17" s="17">
        <v>63.65</v>
      </c>
      <c r="G17" s="17">
        <v>245.7</v>
      </c>
      <c r="I17" s="17">
        <v>1827.17</v>
      </c>
    </row>
    <row r="20" spans="1:10" ht="83.25" customHeight="1">
      <c r="A20" s="201" t="s">
        <v>47</v>
      </c>
      <c r="B20" s="201"/>
      <c r="C20" s="201"/>
      <c r="D20" s="201"/>
      <c r="E20" s="201"/>
      <c r="F20" s="201"/>
      <c r="G20" s="201"/>
      <c r="H20" s="201"/>
      <c r="I20" s="201"/>
      <c r="J20" s="201"/>
    </row>
    <row r="21" spans="1:10" ht="15.75">
      <c r="A21" s="202"/>
      <c r="B21" s="203"/>
      <c r="C21" s="199" t="s">
        <v>44</v>
      </c>
      <c r="D21" s="199"/>
      <c r="E21" s="199" t="s">
        <v>31</v>
      </c>
      <c r="F21" s="199"/>
      <c r="G21" s="199" t="s">
        <v>32</v>
      </c>
      <c r="H21" s="199"/>
      <c r="I21" s="199" t="s">
        <v>33</v>
      </c>
      <c r="J21" s="199"/>
    </row>
    <row r="22" spans="1:10" ht="15.75">
      <c r="A22" s="199"/>
      <c r="B22" s="199"/>
      <c r="C22" s="21" t="s">
        <v>38</v>
      </c>
      <c r="D22" s="21" t="s">
        <v>39</v>
      </c>
      <c r="E22" s="21" t="s">
        <v>38</v>
      </c>
      <c r="F22" s="21" t="s">
        <v>39</v>
      </c>
      <c r="G22" s="21" t="s">
        <v>38</v>
      </c>
      <c r="H22" s="21" t="s">
        <v>39</v>
      </c>
      <c r="I22" s="21" t="s">
        <v>38</v>
      </c>
      <c r="J22" s="21" t="s">
        <v>39</v>
      </c>
    </row>
    <row r="23" spans="1:10" ht="45" customHeight="1">
      <c r="A23" s="200" t="s">
        <v>49</v>
      </c>
      <c r="B23" s="200"/>
      <c r="C23" s="23">
        <v>46.2</v>
      </c>
      <c r="D23" s="23">
        <v>57.75</v>
      </c>
      <c r="E23" s="23">
        <v>47.4</v>
      </c>
      <c r="F23" s="23">
        <v>59.25</v>
      </c>
      <c r="G23" s="23">
        <v>201</v>
      </c>
      <c r="H23" s="23">
        <v>251.25</v>
      </c>
      <c r="I23" s="23">
        <v>1410</v>
      </c>
      <c r="J23" s="23">
        <v>1762.5</v>
      </c>
    </row>
    <row r="24" spans="1:10" ht="45" customHeight="1">
      <c r="A24" s="200" t="s">
        <v>50</v>
      </c>
      <c r="B24" s="200"/>
      <c r="C24" s="23">
        <v>54</v>
      </c>
      <c r="D24" s="23">
        <v>67.5</v>
      </c>
      <c r="E24" s="23">
        <v>55.2</v>
      </c>
      <c r="F24" s="23">
        <v>69</v>
      </c>
      <c r="G24" s="23">
        <v>229.8</v>
      </c>
      <c r="H24" s="23">
        <v>287.25</v>
      </c>
      <c r="I24" s="23">
        <v>1632</v>
      </c>
      <c r="J24" s="23">
        <v>1818</v>
      </c>
    </row>
    <row r="25" spans="1:10" ht="45" customHeight="1">
      <c r="A25" s="200" t="s">
        <v>48</v>
      </c>
      <c r="B25" s="200"/>
      <c r="C25" s="198">
        <v>60.42</v>
      </c>
      <c r="D25" s="198"/>
      <c r="E25" s="198">
        <v>63.65</v>
      </c>
      <c r="F25" s="198"/>
      <c r="G25" s="198">
        <v>245.7</v>
      </c>
      <c r="H25" s="198"/>
      <c r="I25" s="198">
        <v>1827.17</v>
      </c>
      <c r="J25" s="198"/>
    </row>
  </sheetData>
  <mergeCells count="22">
    <mergeCell ref="G3:H3"/>
    <mergeCell ref="E3:F3"/>
    <mergeCell ref="C3:D3"/>
    <mergeCell ref="I3:J3"/>
    <mergeCell ref="C11:D11"/>
    <mergeCell ref="E11:F11"/>
    <mergeCell ref="G11:H11"/>
    <mergeCell ref="I11:J11"/>
    <mergeCell ref="A20:J20"/>
    <mergeCell ref="C21:D21"/>
    <mergeCell ref="E21:F21"/>
    <mergeCell ref="G21:H21"/>
    <mergeCell ref="I21:J21"/>
    <mergeCell ref="A21:B21"/>
    <mergeCell ref="E25:F25"/>
    <mergeCell ref="G25:H25"/>
    <mergeCell ref="I25:J25"/>
    <mergeCell ref="A22:B22"/>
    <mergeCell ref="A23:B23"/>
    <mergeCell ref="A24:B24"/>
    <mergeCell ref="A25:B25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Титул</vt:lpstr>
      <vt:lpstr>на выход</vt:lpstr>
      <vt:lpstr>сводки БЖУ</vt:lpstr>
      <vt:lpstr>сводки по продуктам</vt:lpstr>
      <vt:lpstr>обьемы по приемам пищи</vt:lpstr>
      <vt:lpstr>библиография</vt:lpstr>
      <vt:lpstr>Лист1</vt:lpstr>
      <vt:lpstr>'на выход'!Область_печати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Пользователь</cp:lastModifiedBy>
  <cp:lastPrinted>2023-08-15T12:20:48Z</cp:lastPrinted>
  <dcterms:created xsi:type="dcterms:W3CDTF">2020-10-25T16:40:18Z</dcterms:created>
  <dcterms:modified xsi:type="dcterms:W3CDTF">2023-09-11T11:52:02Z</dcterms:modified>
</cp:coreProperties>
</file>